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2465" firstSheet="36" activeTab="36"/>
  </bookViews>
  <sheets>
    <sheet name="Audyt zewn." sheetId="1" r:id="rId1"/>
    <sheet name="Eksperci bb" sheetId="2" r:id="rId2"/>
    <sheet name="Materiały informacyjne" sheetId="3" r:id="rId3"/>
    <sheet name="Urz. wielofunkcyjne" sheetId="4" r:id="rId4"/>
    <sheet name="Komórki" sheetId="5" r:id="rId5"/>
    <sheet name="Sprzęt komputerowy" sheetId="6" r:id="rId6"/>
    <sheet name="Liczenie" sheetId="7" r:id="rId7"/>
    <sheet name="Mater. rekl." sheetId="8" r:id="rId8"/>
    <sheet name="Urządzenia i podzespoły" sheetId="9" r:id="rId9"/>
    <sheet name="Punktacja" sheetId="10" r:id="rId10"/>
    <sheet name="Bud. w woj. wlkp" sheetId="11" r:id="rId11"/>
    <sheet name="Szkolenie" sheetId="12" r:id="rId12"/>
    <sheet name="Punktacja (2)" sheetId="13" r:id="rId13"/>
    <sheet name="Punktacja (3)" sheetId="14" r:id="rId14"/>
    <sheet name="MTP - sala" sheetId="15" r:id="rId15"/>
    <sheet name="Art. biurowe" sheetId="16" r:id="rId16"/>
    <sheet name="Punktacja (4)" sheetId="17" r:id="rId17"/>
    <sheet name="Meble" sheetId="18" r:id="rId18"/>
    <sheet name="Meble (2)" sheetId="19" r:id="rId19"/>
    <sheet name="Poczta" sheetId="20" r:id="rId20"/>
    <sheet name="Art. reklamowe" sheetId="21" r:id="rId21"/>
    <sheet name="EDP-targi" sheetId="22" r:id="rId22"/>
    <sheet name="kolacja" sheetId="23" r:id="rId23"/>
    <sheet name="Koszty najmu" sheetId="24" r:id="rId24"/>
    <sheet name="Badania ewaluacyjne" sheetId="25" r:id="rId25"/>
    <sheet name="Badania - Priorytet VIII" sheetId="26" r:id="rId26"/>
    <sheet name="Urządzenia wielofunkcyjne" sheetId="27" r:id="rId27"/>
    <sheet name="Seminaria" sheetId="28" r:id="rId28"/>
    <sheet name="Druk plakatów" sheetId="29" r:id="rId29"/>
    <sheet name="UTM" sheetId="30" r:id="rId30"/>
    <sheet name="A3" sheetId="31" r:id="rId31"/>
    <sheet name="Ochrona i monitoring 2013" sheetId="32" r:id="rId32"/>
    <sheet name="Ochrona i monitoring 2013 (2)" sheetId="33" r:id="rId33"/>
    <sheet name="liczenie należności za 11 i 12" sheetId="34" r:id="rId34"/>
    <sheet name="Sytuacja kobiet" sheetId="35" r:id="rId35"/>
    <sheet name="konsultant - SZ" sheetId="36" r:id="rId36"/>
    <sheet name="Domeny" sheetId="37" r:id="rId37"/>
  </sheets>
  <definedNames/>
  <calcPr fullCalcOnLoad="1"/>
</workbook>
</file>

<file path=xl/sharedStrings.xml><?xml version="1.0" encoding="utf-8"?>
<sst xmlns="http://schemas.openxmlformats.org/spreadsheetml/2006/main" count="907" uniqueCount="454">
  <si>
    <t>Firma</t>
  </si>
  <si>
    <t>Wartość netto</t>
  </si>
  <si>
    <t>Wartość brutto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</si>
  <si>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</si>
  <si>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</si>
  <si>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</si>
  <si>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</si>
  <si>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</si>
  <si>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</si>
  <si>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</si>
  <si>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</si>
  <si>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</si>
  <si>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</si>
  <si>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</si>
  <si>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UZR-CBR</t>
  </si>
  <si>
    <t>DGA Audyt</t>
  </si>
  <si>
    <t>Ernst &amp; Young</t>
  </si>
  <si>
    <t>Grant Thrnton Frąckowiak</t>
  </si>
  <si>
    <t>KPMG Audyt</t>
  </si>
  <si>
    <t>Morison Finansista Audit</t>
  </si>
  <si>
    <t>DPC A. Danylczenko</t>
  </si>
  <si>
    <t>CGS-Audyt</t>
  </si>
  <si>
    <t>PricewaterhouseCoopers</t>
  </si>
  <si>
    <t>Ekspert-Fin</t>
  </si>
  <si>
    <t>11.</t>
  </si>
  <si>
    <t>12.</t>
  </si>
  <si>
    <t>13.</t>
  </si>
  <si>
    <t>14.</t>
  </si>
  <si>
    <t>15.</t>
  </si>
  <si>
    <t>16.</t>
  </si>
  <si>
    <t>17.</t>
  </si>
  <si>
    <t>UAM</t>
  </si>
  <si>
    <t>UAM WNPiD</t>
  </si>
  <si>
    <t>UEP AB</t>
  </si>
  <si>
    <t>UEP JR</t>
  </si>
  <si>
    <t>WSNHiD MJŁ</t>
  </si>
  <si>
    <t>WSNHiD RM</t>
  </si>
  <si>
    <t>Agrobex</t>
  </si>
  <si>
    <t>Airtech</t>
  </si>
  <si>
    <t>Budimex</t>
  </si>
  <si>
    <t>Condix</t>
  </si>
  <si>
    <t>Hueck</t>
  </si>
  <si>
    <t>Mostostal</t>
  </si>
  <si>
    <t>Collegium</t>
  </si>
  <si>
    <t>PBO</t>
  </si>
  <si>
    <t>WPIP</t>
  </si>
  <si>
    <t>WUPRINŻ</t>
  </si>
  <si>
    <t>brutto</t>
  </si>
  <si>
    <t>netto</t>
  </si>
  <si>
    <t>euro</t>
  </si>
  <si>
    <t>GAZ</t>
  </si>
  <si>
    <t>VAT</t>
  </si>
  <si>
    <t>średnia 1-7</t>
  </si>
  <si>
    <t>abonament netto</t>
  </si>
  <si>
    <t>wartość netto</t>
  </si>
  <si>
    <t>Smartlink</t>
  </si>
  <si>
    <t>Strategis</t>
  </si>
  <si>
    <t>Primum</t>
  </si>
  <si>
    <t>Ecorys</t>
  </si>
  <si>
    <t>Sigma</t>
  </si>
  <si>
    <t>Multi Communications</t>
  </si>
  <si>
    <t>Telma Group Communications</t>
  </si>
  <si>
    <t>Grupa Eskadra</t>
  </si>
  <si>
    <t>Partner of Promotion</t>
  </si>
  <si>
    <t>Agencja Europomoc</t>
  </si>
  <si>
    <t>Valkea</t>
  </si>
  <si>
    <t>Concept Publishing</t>
  </si>
  <si>
    <t>Agape</t>
  </si>
  <si>
    <t>Novimedia</t>
  </si>
  <si>
    <t>Colorful</t>
  </si>
  <si>
    <t>Aude</t>
  </si>
  <si>
    <t>Ikropka</t>
  </si>
  <si>
    <t>Exsisto</t>
  </si>
  <si>
    <t>18.</t>
  </si>
  <si>
    <t>ATIM</t>
  </si>
  <si>
    <t>DKS</t>
  </si>
  <si>
    <t>Elbekom</t>
  </si>
  <si>
    <t>KC Colsulting</t>
  </si>
  <si>
    <t>MD Serwis</t>
  </si>
  <si>
    <t>Toshiba</t>
  </si>
  <si>
    <t>średnia</t>
  </si>
  <si>
    <t>II opcja</t>
  </si>
  <si>
    <t>zapotrzebowanie oddziału ZP</t>
  </si>
  <si>
    <t>nie złożą wyceny</t>
  </si>
  <si>
    <t xml:space="preserve">razem </t>
  </si>
  <si>
    <t>zad. 1</t>
  </si>
  <si>
    <t>zad. 2</t>
  </si>
  <si>
    <t>wartość brutto</t>
  </si>
  <si>
    <t>zad. 2.1</t>
  </si>
  <si>
    <t xml:space="preserve">zad. 2.2 </t>
  </si>
  <si>
    <t>zad. 2.3</t>
  </si>
  <si>
    <t>zad. 2.4</t>
  </si>
  <si>
    <t>zad. 3</t>
  </si>
  <si>
    <t>Ogółem</t>
  </si>
  <si>
    <t>03.12.2011</t>
  </si>
  <si>
    <t>09.07.2011</t>
  </si>
  <si>
    <t>01.09.2011</t>
  </si>
  <si>
    <t>01.02.2012</t>
  </si>
  <si>
    <t>18.11.2011</t>
  </si>
  <si>
    <t>23.03.2012</t>
  </si>
  <si>
    <t>ilość m-cy do 28.02.13</t>
  </si>
  <si>
    <t>zadanie 1</t>
  </si>
  <si>
    <t>zadanie 2</t>
  </si>
  <si>
    <t>zadanie 3</t>
  </si>
  <si>
    <t>budżet - WORP</t>
  </si>
  <si>
    <t>EFS PT PO KL</t>
  </si>
  <si>
    <t>EFS 8.2.2.POKL</t>
  </si>
  <si>
    <t>kwota przezn.</t>
  </si>
  <si>
    <t>Matbet</t>
  </si>
  <si>
    <t>19.</t>
  </si>
  <si>
    <t>20.</t>
  </si>
  <si>
    <t>21.</t>
  </si>
  <si>
    <t>22.</t>
  </si>
  <si>
    <t>23.</t>
  </si>
  <si>
    <t xml:space="preserve">Data </t>
  </si>
  <si>
    <t>20.09.2012</t>
  </si>
  <si>
    <t>03.03.2013</t>
  </si>
  <si>
    <t>Nazwa</t>
  </si>
  <si>
    <t>Ilość sztuk</t>
  </si>
  <si>
    <t>Cena jednostkowa netto</t>
  </si>
  <si>
    <r>
      <t xml:space="preserve">Oprogramowanie </t>
    </r>
    <r>
      <rPr>
        <sz val="10"/>
        <rFont val="Arial"/>
        <family val="2"/>
      </rPr>
      <t>antywirusowe</t>
    </r>
  </si>
  <si>
    <t>Drukarka laserowa kolorowa</t>
  </si>
  <si>
    <t>Drukarka laserowa</t>
  </si>
  <si>
    <t>Netbook</t>
  </si>
  <si>
    <t>Stawka VAT</t>
  </si>
  <si>
    <t>Zestaw komputerowy (stacja+monitor+oprogramowanie)</t>
  </si>
  <si>
    <t>kwota planowana</t>
  </si>
  <si>
    <t>Promet-Bin</t>
  </si>
  <si>
    <t>średnia 8-19</t>
  </si>
  <si>
    <t>Kingspan</t>
  </si>
  <si>
    <t>2010 r.</t>
  </si>
  <si>
    <t>vat</t>
  </si>
  <si>
    <t>Monitor LCD 17"</t>
  </si>
  <si>
    <t xml:space="preserve">Ilość </t>
  </si>
  <si>
    <t>Nazwa art.</t>
  </si>
  <si>
    <t>Cena jedn. netto</t>
  </si>
  <si>
    <t>Teczka papierowa konferencyjna</t>
  </si>
  <si>
    <t>Notes A5</t>
  </si>
  <si>
    <t>Pendrive USB</t>
  </si>
  <si>
    <t>Torba papierowa</t>
  </si>
  <si>
    <t>rezygnacja z poz. 5</t>
  </si>
  <si>
    <t>Notatnik w oprawie z imitacji skóry</t>
  </si>
  <si>
    <t>Długopis z metalową skuwką</t>
  </si>
  <si>
    <t>Skaner</t>
  </si>
  <si>
    <t>Zasilacz do komputerów PC</t>
  </si>
  <si>
    <t>Dysk zewnętrzny</t>
  </si>
  <si>
    <t>Euro</t>
  </si>
  <si>
    <t>Napęd DVD+/-RW slim (do netbooka)</t>
  </si>
  <si>
    <t>Oferta</t>
  </si>
  <si>
    <t>Cena</t>
  </si>
  <si>
    <t>Termin realizacji</t>
  </si>
  <si>
    <t>Razem</t>
  </si>
  <si>
    <t>odrzucona</t>
  </si>
  <si>
    <t>ASM</t>
  </si>
  <si>
    <t>Indicator</t>
  </si>
  <si>
    <t>Resource</t>
  </si>
  <si>
    <t>Openfield</t>
  </si>
  <si>
    <t>Zachodniopomorska GD</t>
  </si>
  <si>
    <t>GUS</t>
  </si>
  <si>
    <t>Zakład Badań Naukowych PTS</t>
  </si>
  <si>
    <t>Zupa pomidorowa z ryżem 250ml</t>
  </si>
  <si>
    <t>Kotlet z pieczarkami 130 g</t>
  </si>
  <si>
    <t>Frytki 150 g</t>
  </si>
  <si>
    <t>Młode ziemniaki 150 g</t>
  </si>
  <si>
    <t>Surówka z białej kapusty 150 g</t>
  </si>
  <si>
    <t>Woda mineralna 250 ml</t>
  </si>
  <si>
    <t>Sok owocowy 250 ml</t>
  </si>
  <si>
    <t>Kawa espresso ze śmietanką lub herbata z cytryną</t>
  </si>
  <si>
    <t>Ciastka kruche 100g</t>
  </si>
  <si>
    <t>Woda mineralna 500 ml</t>
  </si>
  <si>
    <t>Karkówka z grilla 200g</t>
  </si>
  <si>
    <t>Żeberka z grilla 150g</t>
  </si>
  <si>
    <t>Szaszłyk z grilla 100g</t>
  </si>
  <si>
    <t>Pstrąg z grilla 100 g</t>
  </si>
  <si>
    <t>Indyk z w galarecie 60 g</t>
  </si>
  <si>
    <t>Schab w galarecie 85 g</t>
  </si>
  <si>
    <t>Barszczyk z pasztecikiem 250 g</t>
  </si>
  <si>
    <t>Sałatka jarzynowa z majonezem 100g</t>
  </si>
  <si>
    <t>Sałatka grecka 100 g</t>
  </si>
  <si>
    <t>Pasztet ze śliwką 100g</t>
  </si>
  <si>
    <t>Ogórki kiszone 200 g</t>
  </si>
  <si>
    <t>Pieczywo, masło, smalec</t>
  </si>
  <si>
    <t>Kawa espresso ze śmietanką, herbata</t>
  </si>
  <si>
    <t>Sok owocowy 500 ml</t>
  </si>
  <si>
    <t>Jabłecznik 100 g</t>
  </si>
  <si>
    <t>Jajecznica na szynce z trzech jaj</t>
  </si>
  <si>
    <t>Ser żółty 50 g</t>
  </si>
  <si>
    <t>Ser pleśniowy 50g</t>
  </si>
  <si>
    <t>Szynka wędzona 50 g</t>
  </si>
  <si>
    <t>Kabanosy drobiowe 50 g</t>
  </si>
  <si>
    <t>Pomidory, ogórki</t>
  </si>
  <si>
    <t>Dżem 30 g</t>
  </si>
  <si>
    <t>Pieczywo, masło</t>
  </si>
  <si>
    <t>Ciastka kruche 100 g</t>
  </si>
  <si>
    <t>Żurek staropolski 250ml</t>
  </si>
  <si>
    <t>Strogonoff z kluseczkami półfrancuskimi 100g</t>
  </si>
  <si>
    <t>Surówka z modrej kapusty 150 g</t>
  </si>
  <si>
    <t>Mizeria z ogórków ze śmietaną 150g</t>
  </si>
  <si>
    <t>Placek drożdżowy z owocami 100g</t>
  </si>
  <si>
    <t>Ilość</t>
  </si>
  <si>
    <t>Cena netto</t>
  </si>
  <si>
    <t>Cena brutto</t>
  </si>
  <si>
    <r>
      <t>Twarożek wiosenny ze szczypiorkiem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50g</t>
    </r>
  </si>
  <si>
    <t xml:space="preserve">wynajem 2 sal wykładowych </t>
  </si>
  <si>
    <t>koszt noclegu</t>
  </si>
  <si>
    <t>koszt transortu</t>
  </si>
  <si>
    <t>elewacja</t>
  </si>
  <si>
    <t>okna II</t>
  </si>
  <si>
    <t xml:space="preserve">elewacja </t>
  </si>
  <si>
    <t>Twardy dysk</t>
  </si>
  <si>
    <t>Serwer plików</t>
  </si>
  <si>
    <t>dod. osoby</t>
  </si>
  <si>
    <t>dod. techniki</t>
  </si>
  <si>
    <t>Bob budowniczy</t>
  </si>
  <si>
    <t xml:space="preserve">Nazwa </t>
  </si>
  <si>
    <t>Data</t>
  </si>
  <si>
    <t xml:space="preserve">Najem paw. 11 montaż </t>
  </si>
  <si>
    <t>J.m.</t>
  </si>
  <si>
    <t>29.11.2011</t>
  </si>
  <si>
    <t>h</t>
  </si>
  <si>
    <t>30.11.2011</t>
  </si>
  <si>
    <t>Najem paw 11 wydarzenie - 3000 zł za pierwsze 3h najmu, 500 zł za każdą następną h</t>
  </si>
  <si>
    <t>Najem pawilonu 11 demontaż</t>
  </si>
  <si>
    <t>Najem laptopa</t>
  </si>
  <si>
    <t>szt.</t>
  </si>
  <si>
    <t>Najem rzutnika multimedialnego</t>
  </si>
  <si>
    <t>Najem telewizora LCD z DVD</t>
  </si>
  <si>
    <t>Najem stolików koktajlowych</t>
  </si>
  <si>
    <t>Obsługa szatni</t>
  </si>
  <si>
    <t>W cenie najmu:</t>
  </si>
  <si>
    <t>obsługa techniczna,</t>
  </si>
  <si>
    <t>oświetlenie robocze,</t>
  </si>
  <si>
    <t>ogrzewanie/ klimatyzacja,</t>
  </si>
  <si>
    <t>obsługa WC</t>
  </si>
  <si>
    <t>Najem paw. 11 montaż</t>
  </si>
  <si>
    <t>Szczegółowa kalkulacja najmu pawilonu 11 - Iglicy</t>
  </si>
  <si>
    <t>Catering zewnętrzny, opłata za korzystanie z infrastruktury targowej - bankiet</t>
  </si>
  <si>
    <t>Przedmiot</t>
  </si>
  <si>
    <t>Cena jedn.</t>
  </si>
  <si>
    <t>Wartość</t>
  </si>
  <si>
    <t>Koszulki poszerzane</t>
  </si>
  <si>
    <t>Cienkopis czarny 0,5 mm</t>
  </si>
  <si>
    <t>Fotel obrotowy</t>
  </si>
  <si>
    <t>Kontener zamknięty</t>
  </si>
  <si>
    <t>Regał biurowy otwarty szerokość 80 cm</t>
  </si>
  <si>
    <t>Regał biurowy otwarty szerokość 60 cm</t>
  </si>
  <si>
    <t>Regał biurowy otwarty szerokość 40 cm</t>
  </si>
  <si>
    <t>Krzesło ISO T black</t>
  </si>
  <si>
    <t>Wieszak ubraniowy stojący drewniany</t>
  </si>
  <si>
    <t>Nadstawka na szafę 80 cm</t>
  </si>
  <si>
    <t>Regał biurowy otwarty                    z nadstawką 80 cm</t>
  </si>
  <si>
    <t>Regał biurowy otwarty               z dwiema półkami</t>
  </si>
  <si>
    <t>Szafa dwudrzwiowa                     bez nadstawki 80x180 cm</t>
  </si>
  <si>
    <t>Szafa biurowa 5OH + nadstawka 2OH</t>
  </si>
  <si>
    <t>Stół okrągły</t>
  </si>
  <si>
    <t>Krzesło tapicerowane</t>
  </si>
  <si>
    <t>Biurko</t>
  </si>
  <si>
    <t>Etykiety samoprzylepne A4, 70x42,3 mmmm</t>
  </si>
  <si>
    <t>Jedn. miary</t>
  </si>
  <si>
    <t>op.</t>
  </si>
  <si>
    <t>Karteczki samoprzylepne, 4 kolory 20x50</t>
  </si>
  <si>
    <t>Klej "Kropelka"</t>
  </si>
  <si>
    <t>Klej w sztyfcie</t>
  </si>
  <si>
    <t>Klipsy 19 mm</t>
  </si>
  <si>
    <t>Klipsy 32 mm</t>
  </si>
  <si>
    <t>Ołowek HB z gumką</t>
  </si>
  <si>
    <t>Papier A4</t>
  </si>
  <si>
    <t>ryza</t>
  </si>
  <si>
    <t>Przekładki A4 do segrgatora</t>
  </si>
  <si>
    <t>Segregator A4 8 cm czerwony</t>
  </si>
  <si>
    <t>Segregator A4 8 cm zielony</t>
  </si>
  <si>
    <t>Segregator  A4 8 cm czarny</t>
  </si>
  <si>
    <t>Segregator A4 5 cm czerwony</t>
  </si>
  <si>
    <t>Segragator A4 5 cm zielony</t>
  </si>
  <si>
    <t>Teczka do podpisu A4 10 przegródek ciemnozielona</t>
  </si>
  <si>
    <t>Teczka do podpisu A4 20 przegródek ciemnozielona</t>
  </si>
  <si>
    <t>Zszywki 24/6</t>
  </si>
  <si>
    <t>Klej w taśmie</t>
  </si>
  <si>
    <t>Koszulka - ofertówka</t>
  </si>
  <si>
    <t xml:space="preserve">Koszulka - ofertówka z klapką </t>
  </si>
  <si>
    <t>24.</t>
  </si>
  <si>
    <t>Temperówka</t>
  </si>
  <si>
    <t>Korektor w taśmie</t>
  </si>
  <si>
    <t>Pudła do archiwizcji A4</t>
  </si>
  <si>
    <t xml:space="preserve">szt. </t>
  </si>
  <si>
    <t>Pudła do archiwizcji zbiorcze</t>
  </si>
  <si>
    <t>Fastykuła A4</t>
  </si>
  <si>
    <t>25.</t>
  </si>
  <si>
    <t>26.</t>
  </si>
  <si>
    <t>27.</t>
  </si>
  <si>
    <t>28.</t>
  </si>
  <si>
    <t>Marker permanentny czarny</t>
  </si>
  <si>
    <t>Poznań</t>
  </si>
  <si>
    <t>Piła</t>
  </si>
  <si>
    <t>Kalisz</t>
  </si>
  <si>
    <t>Konin</t>
  </si>
  <si>
    <t>Leszno</t>
  </si>
  <si>
    <t>PT PO KL</t>
  </si>
  <si>
    <t>do 50 g</t>
  </si>
  <si>
    <t>budżet</t>
  </si>
  <si>
    <t>IV</t>
  </si>
  <si>
    <t>V</t>
  </si>
  <si>
    <t>VI</t>
  </si>
  <si>
    <t>VII</t>
  </si>
  <si>
    <t>VIII</t>
  </si>
  <si>
    <t>IX</t>
  </si>
  <si>
    <t>X</t>
  </si>
  <si>
    <t>powyżej 50 g</t>
  </si>
  <si>
    <t>%</t>
  </si>
  <si>
    <t>do 50</t>
  </si>
  <si>
    <t>p 50</t>
  </si>
  <si>
    <t>p 50g</t>
  </si>
  <si>
    <t>12 m-cy</t>
  </si>
  <si>
    <t>plany na 2012</t>
  </si>
  <si>
    <t>Długopis z zakreślaczem</t>
  </si>
  <si>
    <t>Polar damski</t>
  </si>
  <si>
    <t>Polar męski</t>
  </si>
  <si>
    <t>co</t>
  </si>
  <si>
    <t>cena netto za 1 os.</t>
  </si>
  <si>
    <t>VAT za 1 os.</t>
  </si>
  <si>
    <t>cena brutto za 1 os.</t>
  </si>
  <si>
    <t>Cena netto za 40 os.</t>
  </si>
  <si>
    <t>VAT za 40 os.</t>
  </si>
  <si>
    <t>cena brutto za 40 os.</t>
  </si>
  <si>
    <t>jedzenie</t>
  </si>
  <si>
    <t>napoje</t>
  </si>
  <si>
    <t>suma</t>
  </si>
  <si>
    <t>część I</t>
  </si>
  <si>
    <t>targi pracy</t>
  </si>
  <si>
    <t>cena netto</t>
  </si>
  <si>
    <t>VAT kwota</t>
  </si>
  <si>
    <t>VAT stawka</t>
  </si>
  <si>
    <t xml:space="preserve">cena brutto </t>
  </si>
  <si>
    <t>część II</t>
  </si>
  <si>
    <t>kolacja</t>
  </si>
  <si>
    <t>razem</t>
  </si>
  <si>
    <t>ogółem I+II</t>
  </si>
  <si>
    <t>8 i 23%</t>
  </si>
  <si>
    <t>Re-Source</t>
  </si>
  <si>
    <t>Public Profits</t>
  </si>
  <si>
    <t>Agrotec</t>
  </si>
  <si>
    <t>Doradztwo Społ. i Gosp.</t>
  </si>
  <si>
    <t>Proewal</t>
  </si>
  <si>
    <t>Policy</t>
  </si>
  <si>
    <t>plan</t>
  </si>
  <si>
    <t>szacunek</t>
  </si>
  <si>
    <t>oferta</t>
  </si>
  <si>
    <t>12.08.2012</t>
  </si>
  <si>
    <t>Zach. Grupa Doradcza</t>
  </si>
  <si>
    <t>CASE</t>
  </si>
  <si>
    <t>DKS Sp. z o.o</t>
  </si>
  <si>
    <t>MD SERWIS S.C.</t>
  </si>
  <si>
    <t>Toshiba Tec Poland SA</t>
  </si>
  <si>
    <t xml:space="preserve">ATIM </t>
  </si>
  <si>
    <t>Urz. monochromatyczne</t>
  </si>
  <si>
    <t>Urz. A4</t>
  </si>
  <si>
    <t>razem netto 1+2</t>
  </si>
  <si>
    <t>razem brutto 1+2</t>
  </si>
  <si>
    <t>część 1</t>
  </si>
  <si>
    <t>Seminaria</t>
  </si>
  <si>
    <t>Serwis kawowy</t>
  </si>
  <si>
    <t>Obiad</t>
  </si>
  <si>
    <t>Nocleg 2-osobowy</t>
  </si>
  <si>
    <t>Nocleg 1-osobowy</t>
  </si>
  <si>
    <t>Laruss</t>
  </si>
  <si>
    <t>VAT 8%</t>
  </si>
  <si>
    <t>VAT 23%</t>
  </si>
  <si>
    <t>SAFIR</t>
  </si>
  <si>
    <t>Paw Druk</t>
  </si>
  <si>
    <t>Markograf</t>
  </si>
  <si>
    <t>Art. &amp; Print</t>
  </si>
  <si>
    <t>Agraf</t>
  </si>
  <si>
    <t>Kom-Druk</t>
  </si>
  <si>
    <t>Partner Poligrafia</t>
  </si>
  <si>
    <t>Printpap</t>
  </si>
  <si>
    <t>Advatech</t>
  </si>
  <si>
    <t>bezpieczne.it</t>
  </si>
  <si>
    <t>xcomp</t>
  </si>
  <si>
    <t xml:space="preserve">Firma </t>
  </si>
  <si>
    <t>cena najniższa</t>
  </si>
  <si>
    <t>cena oferowana</t>
  </si>
  <si>
    <t>punkty</t>
  </si>
  <si>
    <t>Telecopy</t>
  </si>
  <si>
    <t>Pro Copy</t>
  </si>
  <si>
    <t>Mad Biuro</t>
  </si>
  <si>
    <t>Konica</t>
  </si>
  <si>
    <t>Polyfax</t>
  </si>
  <si>
    <t>cena brutto</t>
  </si>
  <si>
    <t>Agencja Ochrony Osób i Mienia 
PHU „Meduza” 
ul. Krośnieńska 24, 
60-162 Poznań</t>
  </si>
  <si>
    <t>Wolf Służba Ochrony Sp. z o.o. 
ul. Łokietka 146 
31-334 Kraków</t>
  </si>
  <si>
    <t>Agencja Ochrony Osób i Mienia 
Lion Grzegorz Jerzyk 
ul. Brzechwy 43
63-100 Śrem</t>
  </si>
  <si>
    <t>Grupa Hunters Sp. z o.o. 
ul. Bukowska 114 
62-065 Grodzisk Wlkp</t>
  </si>
  <si>
    <t>Biuro Handlowe - Usługowe 
Vigor Adam Urbanek 
ul. Starołęcka 18
61-361 Poznań</t>
  </si>
  <si>
    <t>„Połysk II” Sp. z o.o. 
ul. Czwartaków 25 
61-495 Poznań</t>
  </si>
  <si>
    <t>Konsorcjum Jantar 2 Sp. z o.o. 
Jantar Sp. z o.o. 
ul. Zygmunta Augusta 71
76-200 Słupsk</t>
  </si>
  <si>
    <t>Biuro Ochrony „Sezam” Sp. z o.o. 
ul. Piastowska 71 
61-556 Poznań</t>
  </si>
  <si>
    <t>RAK-SERVICE s.c. 
Koncesjonowana Agencja Ochrony Osób i Mienia 
ul. Niska 8 
60-602 Poznań</t>
  </si>
  <si>
    <t>Agencja Ochrony „PEWNOŚĆ” Sp. z o.o. 
ul. Jackowskiego 52 
64-100 Leszno</t>
  </si>
  <si>
    <t>Asecura – Service Sp. z o.o. 
ul. Kraszewskiego 15 
64-920 Piła</t>
  </si>
  <si>
    <t>Zadanie 2 - monitoring Poznań</t>
  </si>
  <si>
    <t>Zadanie 3 - monitoring Leszno</t>
  </si>
  <si>
    <t>Zadanie 4 - monitoring Piła</t>
  </si>
  <si>
    <t>Zadanie 1 - ochrona Poznań</t>
  </si>
  <si>
    <t>Agencja Detektywistyczna i Ochrony „JOKER” Sp. z o.o. 
al. Wielkopolska 36
60-608 Poznań</t>
  </si>
  <si>
    <t>Biuro Usług Detektywistyczno-Ochronnych LEX Sp. z o.o. 
ul. Poznańska 95 
62-800 Kalisz</t>
  </si>
  <si>
    <t>„EKOTRADE” Sp. z o.o.  
ul. Marcelińska 18 
60-801 Poznań</t>
  </si>
  <si>
    <t>GRUPA POLSKA Sp. z o.o. 
ul. Najśw. Marii Panny 5e 
59-220 Legnica                                         PU GOS-ZEC Sp. z o.o. 
ul. Gdyńska 54 
61-016 Poznań</t>
  </si>
  <si>
    <t>listopad</t>
  </si>
  <si>
    <t>grudzień</t>
  </si>
  <si>
    <t>Część 1</t>
  </si>
  <si>
    <t>Część 2</t>
  </si>
  <si>
    <t>Część 3</t>
  </si>
  <si>
    <t>Część 4</t>
  </si>
  <si>
    <t>cena</t>
  </si>
  <si>
    <t>określenie hipotez badawczych</t>
  </si>
  <si>
    <t>posiadanie w zespole badawczym jednego dodatkowego analityka</t>
  </si>
  <si>
    <t xml:space="preserve">zastosowanie w badaniu metody wywiadów FOCUS </t>
  </si>
  <si>
    <t>b</t>
  </si>
  <si>
    <t>n</t>
  </si>
  <si>
    <t>e</t>
  </si>
  <si>
    <t>v</t>
  </si>
  <si>
    <t>Warunki udziału</t>
  </si>
  <si>
    <t>prof. dr hab. Pan Ryszard Cichocki</t>
  </si>
  <si>
    <t xml:space="preserve"> prof. dr hab. Pan Wacław Jarmołowicz</t>
  </si>
  <si>
    <t>stopień naukowy doktora habilitowanego lub wyższy, nauk humanistycznych i/lub ekonomicznych</t>
  </si>
  <si>
    <t>minimum 10-letnie doświadczenie w pracy naukowej w instytucji naukowo-dydaktycznej i/lub badawczo-rozwojowej</t>
  </si>
  <si>
    <t>5 publikacji z takich obszarów jak strategia rynku pracy, strategia zatrudnienia, uwarunkowania społeczno-ekonomiczne funkcjonowania rynku pracy, polityka społeczna, rynek pracy i zatrudnienie na obszarze regionów lub kraju</t>
  </si>
  <si>
    <t>Kryteria wyboru</t>
  </si>
  <si>
    <t>1. Doświadczenie w okresie ostatnich 10 lat w sporządzaniu lub koordynowaniu prac nad tworzeniem dokumentów planistyczno-strategicznych na poziomie co najmniej regionalnym (województwo) z zakresu polityki zatrudnienia lub polityki społecznej</t>
  </si>
  <si>
    <t>2. Udział w roli współautora w projektach badawczych na poziomie regionalnym, dotyczących tematyki związanej z rynkiem pracy, zatrudnieniem, aktywizacją zawodową</t>
  </si>
  <si>
    <t>razem punktacja</t>
  </si>
  <si>
    <t>punkty za kryterium cena - P1</t>
  </si>
  <si>
    <t>punkty za kryterium doświadczenie - P2</t>
  </si>
  <si>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P1+P2</t>
    </r>
  </si>
  <si>
    <t>Ö</t>
  </si>
  <si>
    <t>1. Punktacja: od 0-10
0 pkt -  w przypadku, gdy kandydat nie spełnia tego kryterium, 
2 pkt - w przypadku, gdy kandydat wykaże, że brał udział w sporządzaniu lub koordynowaniu prac nad 1 dokumentem,
5 pkt - w przypadku, gdy kandydat wykaże, że brał udział w sporządzaniu lub koordynowaniu prac nad 2 dokumentami,
10 pkt - w przypadku, gdy kandydat wykaże, że brał udział w sporządzaniu lub koordynowaniu prac nad co najmniej 3 dokumentami.</t>
  </si>
  <si>
    <t>z załączonych dok. nie wynika, że  kandydat bądź zgłoszony przez niego  zespół posiada doświadczenie w sporządzaniu lub koordynowaniu prac nad tworzeniem dok. planistyczno - strategicznych.</t>
  </si>
  <si>
    <t>2. Punktacja: od 0-30
0 pkt - w przypadku, gdy kandydat nie spełnia tego kryterium, 
10 pkt - w przypadku, gdy kandydat wykaże, że jest współautorem 1 dokumentu,
20 pkt - w przypadku, gdy kandydat wykaże, że jest współautorem 2 dokumentów,
30 pkt - w przypadku, gdy kandydat wykaże, że jest współautorem co najmniej 3 dokumentów.</t>
  </si>
  <si>
    <t>Serwery</t>
  </si>
  <si>
    <t>System składania danych</t>
  </si>
  <si>
    <t>Oprogramowanie wirtualizacyjne</t>
  </si>
  <si>
    <t>UPS</t>
  </si>
  <si>
    <t>Switch zarządzalny</t>
  </si>
  <si>
    <t>Serwerowy system operacyjny</t>
  </si>
  <si>
    <t>Licencje dostępowe do serwerowego systemu operacyjnego</t>
  </si>
  <si>
    <t>Usługa wdrożenia</t>
  </si>
  <si>
    <t>Wartość ogółem</t>
  </si>
  <si>
    <t>Wartość netto w zł</t>
  </si>
  <si>
    <t>Wartość brutto w zł</t>
  </si>
  <si>
    <t>…………………………………………</t>
  </si>
  <si>
    <t>(pieczęć i podpis osoby uprawnionej</t>
  </si>
  <si>
    <t xml:space="preserve">do składania oświadczeń woli </t>
  </si>
  <si>
    <t>w imieniu wykonawcy)</t>
  </si>
  <si>
    <t>Miejscowość ............................................ dnia ........................................... roku.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</si>
</sst>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yyyy/mm/dd;@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##,000&quot; zł&quot;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/d"/>
    <numFmt numFmtId="188" formatCode="&quot;$&quot;#,##0.00"/>
    <numFmt numFmtId="189" formatCode="m/d/yyyy;@"/>
    <numFmt numFmtId="190" formatCode="[$-409]dddd\,\ mmmm\ dd\,\ yyyy"/>
    <numFmt numFmtId="191" formatCode="#\ ##0.00&quot; zł&quot;"/>
    <numFmt numFmtId="192" formatCode="#,##0.000"/>
    <numFmt numFmtId="193" formatCode="#,##0.000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right"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2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9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9" fontId="0" fillId="0" borderId="0" xfId="0" applyNumberFormat="1" applyAlignment="1">
      <alignment/>
    </xf>
    <xf numFmtId="192" fontId="2" fillId="0" borderId="0" xfId="0" applyNumberFormat="1" applyFont="1" applyAlignment="1">
      <alignment/>
    </xf>
    <xf numFmtId="193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192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horizontal="right"/>
    </xf>
    <xf numFmtId="4" fontId="7" fillId="0" borderId="0" xfId="0" applyNumberFormat="1" applyFont="1" applyAlignment="1">
      <alignment horizontal="right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10" xfId="0" applyNumberFormat="1" applyBorder="1" applyAlignment="1">
      <alignment horizontal="right"/>
    </xf>
    <xf numFmtId="4" fontId="0" fillId="33" borderId="10" xfId="0" applyNumberFormat="1" applyFill="1" applyBorder="1" applyAlignment="1">
      <alignment/>
    </xf>
    <xf numFmtId="4" fontId="0" fillId="0" borderId="10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4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left" wrapText="1"/>
    </xf>
    <xf numFmtId="1" fontId="0" fillId="0" borderId="10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2" fontId="2" fillId="0" borderId="10" xfId="0" applyNumberFormat="1" applyFont="1" applyBorder="1" applyAlignment="1">
      <alignment horizontal="right" vertical="top" wrapText="1"/>
    </xf>
    <xf numFmtId="4" fontId="2" fillId="0" borderId="2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9" fontId="0" fillId="0" borderId="10" xfId="0" applyNumberFormat="1" applyBorder="1" applyAlignment="1">
      <alignment horizontal="right"/>
    </xf>
    <xf numFmtId="0" fontId="8" fillId="0" borderId="10" xfId="0" applyFont="1" applyBorder="1" applyAlignment="1">
      <alignment horizontal="center"/>
    </xf>
    <xf numFmtId="9" fontId="0" fillId="0" borderId="10" xfId="0" applyNumberFormat="1" applyBorder="1" applyAlignment="1">
      <alignment/>
    </xf>
    <xf numFmtId="9" fontId="2" fillId="0" borderId="10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4" fontId="0" fillId="0" borderId="19" xfId="0" applyNumberForma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0" fontId="0" fillId="0" borderId="0" xfId="0" applyFont="1" applyBorder="1" applyAlignment="1">
      <alignment vertical="top" wrapText="1"/>
    </xf>
    <xf numFmtId="4" fontId="0" fillId="0" borderId="0" xfId="0" applyNumberFormat="1" applyFont="1" applyAlignment="1">
      <alignment/>
    </xf>
    <xf numFmtId="0" fontId="0" fillId="0" borderId="20" xfId="0" applyBorder="1" applyAlignment="1">
      <alignment horizontal="center"/>
    </xf>
    <xf numFmtId="0" fontId="0" fillId="0" borderId="10" xfId="0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 horizontal="right"/>
    </xf>
    <xf numFmtId="4" fontId="0" fillId="0" borderId="10" xfId="0" applyNumberForma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right" vertic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 vertical="top" wrapText="1"/>
    </xf>
    <xf numFmtId="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6.8515625" style="0" customWidth="1"/>
    <col min="2" max="2" width="24.421875" style="0" customWidth="1"/>
    <col min="3" max="3" width="13.28125" style="0" customWidth="1"/>
    <col min="4" max="4" width="14.7109375" style="0" customWidth="1"/>
  </cols>
  <sheetData>
    <row r="2" spans="1:4" s="1" customFormat="1" ht="12.75">
      <c r="A2" s="5" t="s">
        <v>3</v>
      </c>
      <c r="B2" s="5" t="s">
        <v>0</v>
      </c>
      <c r="C2" s="5" t="s">
        <v>1</v>
      </c>
      <c r="D2" s="5" t="s">
        <v>2</v>
      </c>
    </row>
    <row r="3" spans="1:4" ht="12.75">
      <c r="A3" s="4" t="s">
        <v>4</v>
      </c>
      <c r="B3" s="2" t="s">
        <v>14</v>
      </c>
      <c r="C3" s="3">
        <v>40000</v>
      </c>
      <c r="D3" s="3">
        <v>49200</v>
      </c>
    </row>
    <row r="4" spans="1:4" ht="12.75">
      <c r="A4" s="4" t="s">
        <v>5</v>
      </c>
      <c r="B4" s="2" t="s">
        <v>22</v>
      </c>
      <c r="C4" s="3"/>
      <c r="D4" s="3"/>
    </row>
    <row r="5" spans="1:4" ht="12.75">
      <c r="A5" s="4" t="s">
        <v>6</v>
      </c>
      <c r="B5" s="2" t="s">
        <v>19</v>
      </c>
      <c r="C5" s="3"/>
      <c r="D5" s="3"/>
    </row>
    <row r="6" spans="1:4" ht="12.75">
      <c r="A6" s="4" t="s">
        <v>7</v>
      </c>
      <c r="B6" s="2" t="s">
        <v>18</v>
      </c>
      <c r="C6" s="3">
        <f>D6/1.23</f>
        <v>250000</v>
      </c>
      <c r="D6" s="3">
        <v>307500</v>
      </c>
    </row>
    <row r="7" spans="1:5" ht="12.75">
      <c r="A7" s="4" t="s">
        <v>8</v>
      </c>
      <c r="B7" s="10" t="s">
        <v>17</v>
      </c>
      <c r="C7" s="3"/>
      <c r="D7" s="3"/>
      <c r="E7" t="s">
        <v>83</v>
      </c>
    </row>
    <row r="8" spans="1:4" ht="12.75">
      <c r="A8" s="4" t="s">
        <v>9</v>
      </c>
      <c r="B8" s="2" t="s">
        <v>16</v>
      </c>
      <c r="C8" s="3">
        <v>48500</v>
      </c>
      <c r="D8" s="3">
        <v>59655</v>
      </c>
    </row>
    <row r="9" spans="1:4" ht="12.75">
      <c r="A9" s="4" t="s">
        <v>10</v>
      </c>
      <c r="B9" s="2" t="s">
        <v>23</v>
      </c>
      <c r="C9" s="3"/>
      <c r="D9" s="3"/>
    </row>
    <row r="10" spans="1:4" ht="12.75">
      <c r="A10" s="4" t="s">
        <v>11</v>
      </c>
      <c r="B10" s="2" t="s">
        <v>20</v>
      </c>
      <c r="C10" s="3">
        <f>D10/1.23</f>
        <v>6359.349593495935</v>
      </c>
      <c r="D10" s="3">
        <v>7822</v>
      </c>
    </row>
    <row r="11" spans="1:4" ht="12.75">
      <c r="A11" s="4" t="s">
        <v>12</v>
      </c>
      <c r="B11" s="2" t="s">
        <v>15</v>
      </c>
      <c r="C11" s="3">
        <v>19000</v>
      </c>
      <c r="D11" s="3">
        <v>23370</v>
      </c>
    </row>
    <row r="12" spans="1:4" ht="12.75">
      <c r="A12" s="4" t="s">
        <v>13</v>
      </c>
      <c r="B12" s="2" t="s">
        <v>21</v>
      </c>
      <c r="C12" s="3"/>
      <c r="D12" s="3"/>
    </row>
    <row r="13" spans="2:4" ht="12.75">
      <c r="B13" s="40" t="s">
        <v>93</v>
      </c>
      <c r="C13" s="15">
        <f>SUM(C3:C12)</f>
        <v>363859.34959349595</v>
      </c>
      <c r="D13" s="15">
        <f>SUM(D3:D12)</f>
        <v>447547</v>
      </c>
    </row>
    <row r="14" spans="2:4" ht="12.75">
      <c r="B14" s="41" t="s">
        <v>80</v>
      </c>
      <c r="D14" s="9">
        <f>AVERAGE(D3:D12)</f>
        <v>89509.4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E2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1.7109375" style="0" customWidth="1"/>
    <col min="2" max="2" width="15.8515625" style="0" customWidth="1"/>
    <col min="3" max="3" width="16.140625" style="0" customWidth="1"/>
    <col min="4" max="4" width="13.7109375" style="0" customWidth="1"/>
    <col min="5" max="5" width="13.140625" style="0" customWidth="1"/>
  </cols>
  <sheetData>
    <row r="4" spans="1:4" s="1" customFormat="1" ht="12.75">
      <c r="A4" s="67" t="s">
        <v>148</v>
      </c>
      <c r="B4" s="67" t="s">
        <v>149</v>
      </c>
      <c r="C4" s="67" t="s">
        <v>150</v>
      </c>
      <c r="D4" s="4" t="s">
        <v>151</v>
      </c>
    </row>
    <row r="5" spans="1:5" ht="12.75">
      <c r="A5" s="4">
        <v>1</v>
      </c>
      <c r="B5" s="89">
        <v>90</v>
      </c>
      <c r="C5" s="74">
        <v>10</v>
      </c>
      <c r="D5" s="3">
        <f>B5+C5</f>
        <v>100</v>
      </c>
      <c r="E5" s="9"/>
    </row>
    <row r="6" spans="1:5" ht="12.75">
      <c r="A6" s="4">
        <v>2</v>
      </c>
      <c r="B6" s="68">
        <v>73.24</v>
      </c>
      <c r="C6" s="74">
        <v>10</v>
      </c>
      <c r="D6" s="3">
        <f>B6+C6</f>
        <v>83.24</v>
      </c>
      <c r="E6" s="9"/>
    </row>
    <row r="7" spans="1:5" ht="12.75">
      <c r="A7" s="4">
        <v>3</v>
      </c>
      <c r="B7" s="68" t="s">
        <v>152</v>
      </c>
      <c r="C7" s="74"/>
      <c r="D7" s="3"/>
      <c r="E7" s="9"/>
    </row>
    <row r="8" spans="1:5" ht="12.75">
      <c r="A8" s="4">
        <v>4</v>
      </c>
      <c r="B8" s="68">
        <v>82.59</v>
      </c>
      <c r="C8" s="74">
        <v>10</v>
      </c>
      <c r="D8" s="3">
        <f>B8+C8</f>
        <v>92.59</v>
      </c>
      <c r="E8" s="9"/>
    </row>
    <row r="9" spans="3:4" ht="12.75">
      <c r="C9" s="39"/>
      <c r="D9" s="9"/>
    </row>
    <row r="11" spans="2:4" ht="12.75">
      <c r="B11" s="9">
        <v>97203.57</v>
      </c>
      <c r="C11" s="9">
        <v>97203.57</v>
      </c>
      <c r="D11" s="9">
        <f>B11/C11*90</f>
        <v>90</v>
      </c>
    </row>
    <row r="12" spans="2:4" ht="12.75">
      <c r="B12" s="9">
        <v>97203.57</v>
      </c>
      <c r="C12" s="9">
        <v>119442.83</v>
      </c>
      <c r="D12" s="9">
        <f>B12/C12*90</f>
        <v>73.2427496903749</v>
      </c>
    </row>
    <row r="13" spans="2:4" ht="12.75">
      <c r="B13" s="9">
        <v>97203.57</v>
      </c>
      <c r="C13" s="9">
        <v>105923.85</v>
      </c>
      <c r="D13" s="9">
        <f>B13/C13*90</f>
        <v>82.5906658415456</v>
      </c>
    </row>
    <row r="14" spans="2:4" ht="12.75">
      <c r="B14" s="9"/>
      <c r="C14" s="9"/>
      <c r="D14" s="9"/>
    </row>
    <row r="15" spans="2:4" ht="12.75">
      <c r="B15" s="71"/>
      <c r="C15" s="71"/>
      <c r="D15" s="72"/>
    </row>
    <row r="16" spans="2:4" ht="12.75">
      <c r="B16" s="71"/>
      <c r="C16" s="73"/>
      <c r="D16" s="72"/>
    </row>
    <row r="17" spans="2:4" ht="12.75">
      <c r="B17" s="71"/>
      <c r="C17" s="73"/>
      <c r="D17" s="72"/>
    </row>
    <row r="18" spans="2:4" ht="12.75">
      <c r="B18" s="71"/>
      <c r="C18" s="73"/>
      <c r="D18" s="72"/>
    </row>
    <row r="19" spans="2:4" ht="12.75">
      <c r="B19" s="71"/>
      <c r="C19" s="73"/>
      <c r="D19" s="72"/>
    </row>
    <row r="20" spans="2:4" ht="12.75">
      <c r="B20" s="71"/>
      <c r="C20" s="73"/>
      <c r="D20" s="72"/>
    </row>
    <row r="21" spans="2:4" ht="12.75">
      <c r="B21" s="71"/>
      <c r="C21" s="73"/>
      <c r="D21" s="7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140625" style="0" customWidth="1"/>
    <col min="2" max="2" width="26.8515625" style="0" customWidth="1"/>
    <col min="3" max="3" width="14.00390625" style="0" customWidth="1"/>
    <col min="4" max="4" width="14.28125" style="0" customWidth="1"/>
  </cols>
  <sheetData>
    <row r="2" spans="1:4" ht="12.75">
      <c r="A2" s="5" t="s">
        <v>3</v>
      </c>
      <c r="B2" s="5" t="s">
        <v>0</v>
      </c>
      <c r="C2" s="5" t="s">
        <v>1</v>
      </c>
      <c r="D2" s="5" t="s">
        <v>2</v>
      </c>
    </row>
    <row r="3" spans="1:4" ht="12.75">
      <c r="A3" s="4" t="s">
        <v>4</v>
      </c>
      <c r="B3" s="2" t="s">
        <v>153</v>
      </c>
      <c r="C3" s="8">
        <v>69918.7</v>
      </c>
      <c r="D3" s="8">
        <v>86000</v>
      </c>
    </row>
    <row r="4" spans="1:4" ht="12.75">
      <c r="A4" s="4" t="s">
        <v>5</v>
      </c>
      <c r="B4" s="2" t="s">
        <v>154</v>
      </c>
      <c r="C4" s="8">
        <v>71000</v>
      </c>
      <c r="D4" s="8">
        <v>87330</v>
      </c>
    </row>
    <row r="5" spans="1:4" ht="12.75">
      <c r="A5" s="4" t="s">
        <v>6</v>
      </c>
      <c r="B5" s="2" t="s">
        <v>155</v>
      </c>
      <c r="C5" s="8">
        <v>58500</v>
      </c>
      <c r="D5" s="8">
        <v>71955</v>
      </c>
    </row>
    <row r="6" spans="1:4" ht="12.75">
      <c r="A6" s="4" t="s">
        <v>7</v>
      </c>
      <c r="B6" s="2" t="s">
        <v>156</v>
      </c>
      <c r="C6" s="8">
        <v>42000</v>
      </c>
      <c r="D6" s="8">
        <v>51660</v>
      </c>
    </row>
    <row r="7" spans="1:4" ht="12.75">
      <c r="A7" s="4" t="s">
        <v>8</v>
      </c>
      <c r="B7" s="2" t="s">
        <v>157</v>
      </c>
      <c r="C7" s="8">
        <v>91500</v>
      </c>
      <c r="D7" s="8">
        <v>112545</v>
      </c>
    </row>
    <row r="8" spans="1:4" ht="12.75">
      <c r="A8" s="4" t="s">
        <v>9</v>
      </c>
      <c r="B8" s="2" t="s">
        <v>158</v>
      </c>
      <c r="C8" s="8">
        <v>112000</v>
      </c>
      <c r="D8" s="8">
        <f>C8*1.23</f>
        <v>137760</v>
      </c>
    </row>
    <row r="9" spans="1:4" ht="12.75">
      <c r="A9" s="4" t="s">
        <v>10</v>
      </c>
      <c r="B9" s="2" t="s">
        <v>159</v>
      </c>
      <c r="C9" s="3">
        <v>51000</v>
      </c>
      <c r="D9" s="8">
        <f>C9*1.23</f>
        <v>62730</v>
      </c>
    </row>
    <row r="10" spans="2:4" ht="12.75">
      <c r="B10" s="7"/>
      <c r="C10" s="11">
        <f>SUM(C3:C9)</f>
        <v>495918.7</v>
      </c>
      <c r="D10" s="11">
        <f>SUM(D3:D9)</f>
        <v>609980</v>
      </c>
    </row>
    <row r="11" spans="2:4" ht="12.75">
      <c r="B11" s="13"/>
      <c r="C11" s="14"/>
      <c r="D11" s="14"/>
    </row>
    <row r="12" spans="2:4" ht="12.75">
      <c r="B12" s="12"/>
      <c r="C12" s="18" t="s">
        <v>80</v>
      </c>
      <c r="D12" s="18">
        <f>D10/7</f>
        <v>87140</v>
      </c>
    </row>
    <row r="13" spans="2:4" ht="12.75">
      <c r="B13" s="12"/>
      <c r="C13" s="18"/>
      <c r="D13" s="18"/>
    </row>
    <row r="14" spans="2:4" ht="12.75">
      <c r="B14" s="12"/>
      <c r="C14" s="18"/>
      <c r="D14" s="18"/>
    </row>
    <row r="16" ht="12.75">
      <c r="D16" s="39"/>
    </row>
    <row r="17" ht="12.75">
      <c r="D17" s="39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6.28125" style="13" customWidth="1"/>
    <col min="2" max="2" width="10.8515625" style="13" customWidth="1"/>
    <col min="3" max="3" width="16.421875" style="9" customWidth="1"/>
    <col min="4" max="4" width="14.7109375" style="9" customWidth="1"/>
    <col min="5" max="5" width="12.421875" style="0" customWidth="1"/>
    <col min="6" max="6" width="13.28125" style="0" customWidth="1"/>
  </cols>
  <sheetData>
    <row r="1" spans="1:5" s="77" customFormat="1" ht="12.75">
      <c r="A1" s="5"/>
      <c r="B1" s="5" t="s">
        <v>199</v>
      </c>
      <c r="C1" s="79" t="s">
        <v>200</v>
      </c>
      <c r="D1" s="79" t="s">
        <v>201</v>
      </c>
      <c r="E1" s="5" t="s">
        <v>124</v>
      </c>
    </row>
    <row r="2" spans="1:5" s="78" customFormat="1" ht="15" customHeight="1">
      <c r="A2" s="80" t="s">
        <v>160</v>
      </c>
      <c r="B2" s="81">
        <v>24</v>
      </c>
      <c r="C2" s="82">
        <v>192</v>
      </c>
      <c r="D2" s="82">
        <f>C2*1.08</f>
        <v>207.36</v>
      </c>
      <c r="E2" s="83">
        <v>0.08</v>
      </c>
    </row>
    <row r="3" spans="1:5" s="78" customFormat="1" ht="12.75">
      <c r="A3" s="80" t="s">
        <v>161</v>
      </c>
      <c r="B3" s="81">
        <v>24</v>
      </c>
      <c r="C3" s="82">
        <v>240</v>
      </c>
      <c r="D3" s="82">
        <f>C3*1.08</f>
        <v>259.20000000000005</v>
      </c>
      <c r="E3" s="83">
        <v>0.08</v>
      </c>
    </row>
    <row r="4" spans="1:5" s="78" customFormat="1" ht="12.75">
      <c r="A4" s="80" t="s">
        <v>162</v>
      </c>
      <c r="B4" s="81">
        <v>12</v>
      </c>
      <c r="C4" s="82">
        <v>60</v>
      </c>
      <c r="D4" s="82">
        <f>C4*1.08</f>
        <v>64.80000000000001</v>
      </c>
      <c r="E4" s="83">
        <v>0.08</v>
      </c>
    </row>
    <row r="5" spans="1:5" s="78" customFormat="1" ht="12.75">
      <c r="A5" s="80" t="s">
        <v>163</v>
      </c>
      <c r="B5" s="81">
        <v>12</v>
      </c>
      <c r="C5" s="82">
        <v>60</v>
      </c>
      <c r="D5" s="82">
        <f>C5*1.08</f>
        <v>64.80000000000001</v>
      </c>
      <c r="E5" s="83">
        <v>0.08</v>
      </c>
    </row>
    <row r="6" spans="1:5" s="78" customFormat="1" ht="15" customHeight="1">
      <c r="A6" s="80" t="s">
        <v>164</v>
      </c>
      <c r="B6" s="81">
        <v>24</v>
      </c>
      <c r="C6" s="82">
        <v>96</v>
      </c>
      <c r="D6" s="82">
        <f>C6*1.08</f>
        <v>103.68</v>
      </c>
      <c r="E6" s="83">
        <v>0.08</v>
      </c>
    </row>
    <row r="7" spans="1:5" s="78" customFormat="1" ht="12.75">
      <c r="A7" s="80" t="s">
        <v>165</v>
      </c>
      <c r="B7" s="81">
        <v>27</v>
      </c>
      <c r="C7" s="82">
        <v>135</v>
      </c>
      <c r="D7" s="82">
        <f>C7*1.23</f>
        <v>166.05</v>
      </c>
      <c r="E7" s="83">
        <v>0.23</v>
      </c>
    </row>
    <row r="8" spans="1:5" s="78" customFormat="1" ht="12.75">
      <c r="A8" s="80" t="s">
        <v>166</v>
      </c>
      <c r="B8" s="81">
        <v>24</v>
      </c>
      <c r="C8" s="82">
        <v>120</v>
      </c>
      <c r="D8" s="82">
        <f>C8*1.23</f>
        <v>147.6</v>
      </c>
      <c r="E8" s="83">
        <v>0.23</v>
      </c>
    </row>
    <row r="9" spans="1:5" s="78" customFormat="1" ht="27.75" customHeight="1">
      <c r="A9" s="80" t="s">
        <v>167</v>
      </c>
      <c r="B9" s="81">
        <v>40</v>
      </c>
      <c r="C9" s="82">
        <v>40</v>
      </c>
      <c r="D9" s="82">
        <f>C9*1.23</f>
        <v>49.2</v>
      </c>
      <c r="E9" s="83">
        <v>0.23</v>
      </c>
    </row>
    <row r="10" spans="1:5" s="78" customFormat="1" ht="12.75">
      <c r="A10" s="80" t="s">
        <v>168</v>
      </c>
      <c r="B10" s="81">
        <v>40</v>
      </c>
      <c r="C10" s="82">
        <v>120</v>
      </c>
      <c r="D10" s="82">
        <f>C10*1.23</f>
        <v>147.6</v>
      </c>
      <c r="E10" s="83">
        <v>0.23</v>
      </c>
    </row>
    <row r="11" spans="1:5" s="78" customFormat="1" ht="12.75">
      <c r="A11" s="80" t="s">
        <v>169</v>
      </c>
      <c r="B11" s="81">
        <v>27</v>
      </c>
      <c r="C11" s="82">
        <v>135</v>
      </c>
      <c r="D11" s="82">
        <f>C11*1.23</f>
        <v>166.05</v>
      </c>
      <c r="E11" s="83">
        <v>0.23</v>
      </c>
    </row>
    <row r="12" spans="1:5" s="78" customFormat="1" ht="12.75">
      <c r="A12" s="80" t="s">
        <v>170</v>
      </c>
      <c r="B12" s="81">
        <v>12</v>
      </c>
      <c r="C12" s="82">
        <v>48</v>
      </c>
      <c r="D12" s="82">
        <f aca="true" t="shared" si="0" ref="D12:D23">C12*1.08</f>
        <v>51.84</v>
      </c>
      <c r="E12" s="83">
        <v>0.08</v>
      </c>
    </row>
    <row r="13" spans="1:5" s="78" customFormat="1" ht="12.75">
      <c r="A13" s="80" t="s">
        <v>171</v>
      </c>
      <c r="B13" s="81">
        <v>12</v>
      </c>
      <c r="C13" s="82">
        <v>48</v>
      </c>
      <c r="D13" s="82">
        <f t="shared" si="0"/>
        <v>51.84</v>
      </c>
      <c r="E13" s="83">
        <v>0.08</v>
      </c>
    </row>
    <row r="14" spans="1:5" s="78" customFormat="1" ht="12.75">
      <c r="A14" s="80" t="s">
        <v>172</v>
      </c>
      <c r="B14" s="81">
        <v>24</v>
      </c>
      <c r="C14" s="82">
        <v>96</v>
      </c>
      <c r="D14" s="82">
        <f t="shared" si="0"/>
        <v>103.68</v>
      </c>
      <c r="E14" s="83">
        <v>0.08</v>
      </c>
    </row>
    <row r="15" spans="1:5" s="78" customFormat="1" ht="12.75">
      <c r="A15" s="80" t="s">
        <v>173</v>
      </c>
      <c r="B15" s="81">
        <v>24</v>
      </c>
      <c r="C15" s="82">
        <v>96</v>
      </c>
      <c r="D15" s="82">
        <f t="shared" si="0"/>
        <v>103.68</v>
      </c>
      <c r="E15" s="83">
        <v>0.08</v>
      </c>
    </row>
    <row r="16" spans="1:5" s="78" customFormat="1" ht="12.75">
      <c r="A16" s="80" t="s">
        <v>174</v>
      </c>
      <c r="B16" s="81">
        <v>12</v>
      </c>
      <c r="C16" s="82">
        <v>48</v>
      </c>
      <c r="D16" s="82">
        <f t="shared" si="0"/>
        <v>51.84</v>
      </c>
      <c r="E16" s="83">
        <v>0.08</v>
      </c>
    </row>
    <row r="17" spans="1:5" s="78" customFormat="1" ht="12.75">
      <c r="A17" s="80" t="s">
        <v>175</v>
      </c>
      <c r="B17" s="81">
        <v>12</v>
      </c>
      <c r="C17" s="82">
        <v>48</v>
      </c>
      <c r="D17" s="82">
        <f t="shared" si="0"/>
        <v>51.84</v>
      </c>
      <c r="E17" s="83">
        <v>0.08</v>
      </c>
    </row>
    <row r="18" spans="1:5" s="78" customFormat="1" ht="12.75">
      <c r="A18" s="80" t="s">
        <v>176</v>
      </c>
      <c r="B18" s="81">
        <v>24</v>
      </c>
      <c r="C18" s="82">
        <v>96</v>
      </c>
      <c r="D18" s="82">
        <f t="shared" si="0"/>
        <v>103.68</v>
      </c>
      <c r="E18" s="83">
        <v>0.08</v>
      </c>
    </row>
    <row r="19" spans="1:5" s="78" customFormat="1" ht="14.25" customHeight="1">
      <c r="A19" s="80" t="s">
        <v>177</v>
      </c>
      <c r="B19" s="81">
        <v>12</v>
      </c>
      <c r="C19" s="82">
        <v>48</v>
      </c>
      <c r="D19" s="82">
        <f t="shared" si="0"/>
        <v>51.84</v>
      </c>
      <c r="E19" s="83">
        <v>0.08</v>
      </c>
    </row>
    <row r="20" spans="1:5" s="78" customFormat="1" ht="12.75">
      <c r="A20" s="80" t="s">
        <v>178</v>
      </c>
      <c r="B20" s="81">
        <v>12</v>
      </c>
      <c r="C20" s="82">
        <v>48</v>
      </c>
      <c r="D20" s="82">
        <f t="shared" si="0"/>
        <v>51.84</v>
      </c>
      <c r="E20" s="83">
        <v>0.08</v>
      </c>
    </row>
    <row r="21" spans="1:5" s="78" customFormat="1" ht="12.75">
      <c r="A21" s="80" t="s">
        <v>179</v>
      </c>
      <c r="B21" s="81">
        <v>12</v>
      </c>
      <c r="C21" s="82">
        <v>48</v>
      </c>
      <c r="D21" s="82">
        <f t="shared" si="0"/>
        <v>51.84</v>
      </c>
      <c r="E21" s="83">
        <v>0.08</v>
      </c>
    </row>
    <row r="22" spans="1:5" s="78" customFormat="1" ht="12.75">
      <c r="A22" s="80" t="s">
        <v>180</v>
      </c>
      <c r="B22" s="81">
        <v>24</v>
      </c>
      <c r="C22" s="82">
        <v>24</v>
      </c>
      <c r="D22" s="82">
        <f t="shared" si="0"/>
        <v>25.92</v>
      </c>
      <c r="E22" s="83">
        <v>0.08</v>
      </c>
    </row>
    <row r="23" spans="1:5" s="78" customFormat="1" ht="12.75">
      <c r="A23" s="80" t="s">
        <v>181</v>
      </c>
      <c r="B23" s="81">
        <v>24</v>
      </c>
      <c r="C23" s="82">
        <v>24</v>
      </c>
      <c r="D23" s="82">
        <f t="shared" si="0"/>
        <v>25.92</v>
      </c>
      <c r="E23" s="83">
        <v>0.08</v>
      </c>
    </row>
    <row r="24" spans="1:5" s="78" customFormat="1" ht="12.75">
      <c r="A24" s="80" t="s">
        <v>182</v>
      </c>
      <c r="B24" s="81">
        <v>27</v>
      </c>
      <c r="C24" s="82">
        <v>135</v>
      </c>
      <c r="D24" s="82">
        <f>C24*1.23</f>
        <v>166.05</v>
      </c>
      <c r="E24" s="83">
        <v>0.23</v>
      </c>
    </row>
    <row r="25" spans="1:5" s="78" customFormat="1" ht="12.75">
      <c r="A25" s="80" t="s">
        <v>169</v>
      </c>
      <c r="B25" s="81">
        <v>27</v>
      </c>
      <c r="C25" s="82">
        <v>135</v>
      </c>
      <c r="D25" s="82">
        <f>C25*1.23</f>
        <v>166.05</v>
      </c>
      <c r="E25" s="83">
        <v>0.23</v>
      </c>
    </row>
    <row r="26" spans="1:5" s="78" customFormat="1" ht="12.75">
      <c r="A26" s="80" t="s">
        <v>183</v>
      </c>
      <c r="B26" s="81">
        <v>27</v>
      </c>
      <c r="C26" s="82">
        <v>135</v>
      </c>
      <c r="D26" s="82">
        <f>C26*1.23</f>
        <v>166.05</v>
      </c>
      <c r="E26" s="83">
        <v>0.23</v>
      </c>
    </row>
    <row r="27" spans="1:5" s="78" customFormat="1" ht="12.75">
      <c r="A27" s="80" t="s">
        <v>184</v>
      </c>
      <c r="B27" s="81">
        <v>27</v>
      </c>
      <c r="C27" s="82">
        <v>135</v>
      </c>
      <c r="D27" s="82">
        <f aca="true" t="shared" si="1" ref="D27:D36">C27*1.08</f>
        <v>145.8</v>
      </c>
      <c r="E27" s="83">
        <v>0.08</v>
      </c>
    </row>
    <row r="28" spans="1:5" s="78" customFormat="1" ht="12.75">
      <c r="A28" s="80" t="s">
        <v>185</v>
      </c>
      <c r="B28" s="81">
        <v>24</v>
      </c>
      <c r="C28" s="82">
        <v>24</v>
      </c>
      <c r="D28" s="82">
        <f t="shared" si="1"/>
        <v>25.92</v>
      </c>
      <c r="E28" s="83">
        <v>0.08</v>
      </c>
    </row>
    <row r="29" spans="1:5" s="78" customFormat="1" ht="15" customHeight="1">
      <c r="A29" s="80" t="s">
        <v>202</v>
      </c>
      <c r="B29" s="81">
        <v>24</v>
      </c>
      <c r="C29" s="82">
        <v>24</v>
      </c>
      <c r="D29" s="82">
        <f t="shared" si="1"/>
        <v>25.92</v>
      </c>
      <c r="E29" s="83">
        <v>0.08</v>
      </c>
    </row>
    <row r="30" spans="1:5" s="78" customFormat="1" ht="12.75">
      <c r="A30" s="80" t="s">
        <v>186</v>
      </c>
      <c r="B30" s="81">
        <v>24</v>
      </c>
      <c r="C30" s="82">
        <v>24</v>
      </c>
      <c r="D30" s="82">
        <f t="shared" si="1"/>
        <v>25.92</v>
      </c>
      <c r="E30" s="83">
        <v>0.08</v>
      </c>
    </row>
    <row r="31" spans="1:5" s="78" customFormat="1" ht="12.75">
      <c r="A31" s="80" t="s">
        <v>187</v>
      </c>
      <c r="B31" s="81">
        <v>24</v>
      </c>
      <c r="C31" s="82">
        <v>24</v>
      </c>
      <c r="D31" s="82">
        <f t="shared" si="1"/>
        <v>25.92</v>
      </c>
      <c r="E31" s="83">
        <v>0.08</v>
      </c>
    </row>
    <row r="32" spans="1:5" s="78" customFormat="1" ht="12.75">
      <c r="A32" s="80" t="s">
        <v>188</v>
      </c>
      <c r="B32" s="81">
        <v>24</v>
      </c>
      <c r="C32" s="82">
        <v>24</v>
      </c>
      <c r="D32" s="82">
        <f t="shared" si="1"/>
        <v>25.92</v>
      </c>
      <c r="E32" s="83">
        <v>0.08</v>
      </c>
    </row>
    <row r="33" spans="1:5" s="78" customFormat="1" ht="12.75">
      <c r="A33" s="80" t="s">
        <v>189</v>
      </c>
      <c r="B33" s="81">
        <v>24</v>
      </c>
      <c r="C33" s="82">
        <v>24</v>
      </c>
      <c r="D33" s="82">
        <f t="shared" si="1"/>
        <v>25.92</v>
      </c>
      <c r="E33" s="83">
        <v>0.08</v>
      </c>
    </row>
    <row r="34" spans="1:5" s="78" customFormat="1" ht="12.75">
      <c r="A34" s="80" t="s">
        <v>190</v>
      </c>
      <c r="B34" s="81">
        <v>24</v>
      </c>
      <c r="C34" s="82">
        <v>24</v>
      </c>
      <c r="D34" s="82">
        <f t="shared" si="1"/>
        <v>25.92</v>
      </c>
      <c r="E34" s="83">
        <v>0.08</v>
      </c>
    </row>
    <row r="35" spans="1:5" s="78" customFormat="1" ht="12.75">
      <c r="A35" s="80" t="s">
        <v>191</v>
      </c>
      <c r="B35" s="81">
        <v>24</v>
      </c>
      <c r="C35" s="82">
        <v>24</v>
      </c>
      <c r="D35" s="82">
        <f t="shared" si="1"/>
        <v>25.92</v>
      </c>
      <c r="E35" s="83">
        <v>0.08</v>
      </c>
    </row>
    <row r="36" spans="1:5" s="78" customFormat="1" ht="12.75">
      <c r="A36" s="80" t="s">
        <v>192</v>
      </c>
      <c r="B36" s="81">
        <v>24</v>
      </c>
      <c r="C36" s="82">
        <v>24</v>
      </c>
      <c r="D36" s="82">
        <f t="shared" si="1"/>
        <v>25.92</v>
      </c>
      <c r="E36" s="83">
        <v>0.08</v>
      </c>
    </row>
    <row r="37" spans="1:5" s="78" customFormat="1" ht="25.5">
      <c r="A37" s="80" t="s">
        <v>167</v>
      </c>
      <c r="B37" s="81">
        <v>24</v>
      </c>
      <c r="C37" s="82">
        <v>120</v>
      </c>
      <c r="D37" s="82">
        <f>C37*1.23</f>
        <v>147.6</v>
      </c>
      <c r="E37" s="83">
        <v>0.23</v>
      </c>
    </row>
    <row r="38" spans="1:5" s="78" customFormat="1" ht="25.5">
      <c r="A38" s="80" t="s">
        <v>167</v>
      </c>
      <c r="B38" s="81">
        <v>27</v>
      </c>
      <c r="C38" s="82">
        <v>135</v>
      </c>
      <c r="D38" s="82">
        <f>C38*1.23</f>
        <v>166.05</v>
      </c>
      <c r="E38" s="83">
        <v>0.23</v>
      </c>
    </row>
    <row r="39" spans="1:5" s="78" customFormat="1" ht="12.75">
      <c r="A39" s="80" t="s">
        <v>193</v>
      </c>
      <c r="B39" s="81">
        <v>27</v>
      </c>
      <c r="C39" s="82">
        <v>135</v>
      </c>
      <c r="D39" s="82">
        <f>C39*1.08</f>
        <v>145.8</v>
      </c>
      <c r="E39" s="83">
        <v>0.08</v>
      </c>
    </row>
    <row r="40" spans="1:5" s="78" customFormat="1" ht="12.75">
      <c r="A40" s="80" t="s">
        <v>169</v>
      </c>
      <c r="B40" s="81">
        <v>27</v>
      </c>
      <c r="C40" s="82">
        <v>135</v>
      </c>
      <c r="D40" s="82">
        <f>C40*1.23</f>
        <v>166.05</v>
      </c>
      <c r="E40" s="83">
        <v>0.23</v>
      </c>
    </row>
    <row r="41" spans="1:5" s="78" customFormat="1" ht="12.75">
      <c r="A41" s="80" t="s">
        <v>194</v>
      </c>
      <c r="B41" s="81">
        <v>24</v>
      </c>
      <c r="C41" s="82">
        <v>192</v>
      </c>
      <c r="D41" s="82">
        <f>C41*1.08</f>
        <v>207.36</v>
      </c>
      <c r="E41" s="83">
        <v>0.08</v>
      </c>
    </row>
    <row r="42" spans="1:5" s="78" customFormat="1" ht="25.5">
      <c r="A42" s="80" t="s">
        <v>195</v>
      </c>
      <c r="B42" s="81">
        <v>24</v>
      </c>
      <c r="C42" s="82">
        <v>240</v>
      </c>
      <c r="D42" s="82">
        <f>C42*1.08</f>
        <v>259.20000000000005</v>
      </c>
      <c r="E42" s="83">
        <v>0.08</v>
      </c>
    </row>
    <row r="43" spans="1:5" s="78" customFormat="1" ht="12.75">
      <c r="A43" s="80" t="s">
        <v>196</v>
      </c>
      <c r="B43" s="81">
        <v>24</v>
      </c>
      <c r="C43" s="82">
        <v>96</v>
      </c>
      <c r="D43" s="82">
        <f>C43*1.08</f>
        <v>103.68</v>
      </c>
      <c r="E43" s="83">
        <v>0.08</v>
      </c>
    </row>
    <row r="44" spans="1:5" s="78" customFormat="1" ht="12.75">
      <c r="A44" s="80" t="s">
        <v>197</v>
      </c>
      <c r="B44" s="81">
        <v>24</v>
      </c>
      <c r="C44" s="82">
        <v>120</v>
      </c>
      <c r="D44" s="82">
        <f>C44*1.08</f>
        <v>129.60000000000002</v>
      </c>
      <c r="E44" s="83">
        <v>0.08</v>
      </c>
    </row>
    <row r="45" spans="1:5" s="78" customFormat="1" ht="12.75">
      <c r="A45" s="80" t="s">
        <v>165</v>
      </c>
      <c r="B45" s="81">
        <v>30</v>
      </c>
      <c r="C45" s="82">
        <v>150</v>
      </c>
      <c r="D45" s="82">
        <f>C45*1.23</f>
        <v>184.5</v>
      </c>
      <c r="E45" s="83">
        <v>0.23</v>
      </c>
    </row>
    <row r="46" spans="1:5" s="78" customFormat="1" ht="12.75">
      <c r="A46" s="80" t="s">
        <v>166</v>
      </c>
      <c r="B46" s="81">
        <v>24</v>
      </c>
      <c r="C46" s="82">
        <v>120</v>
      </c>
      <c r="D46" s="82">
        <f>C46*1.23</f>
        <v>147.6</v>
      </c>
      <c r="E46" s="83">
        <v>0.23</v>
      </c>
    </row>
    <row r="47" spans="1:5" s="78" customFormat="1" ht="12.75">
      <c r="A47" s="80" t="s">
        <v>198</v>
      </c>
      <c r="B47" s="81">
        <v>24</v>
      </c>
      <c r="C47" s="82">
        <v>120</v>
      </c>
      <c r="D47" s="82">
        <f>C47*1.08</f>
        <v>129.60000000000002</v>
      </c>
      <c r="E47" s="83">
        <v>0.08</v>
      </c>
    </row>
    <row r="48" spans="1:5" s="78" customFormat="1" ht="12.75">
      <c r="A48" s="181" t="s">
        <v>151</v>
      </c>
      <c r="B48" s="181"/>
      <c r="C48" s="15">
        <f>SUM(C2:C47)</f>
        <v>4189</v>
      </c>
      <c r="D48" s="15">
        <f>SUM(D2:D47)</f>
        <v>4766.3700000000035</v>
      </c>
      <c r="E48" s="83"/>
    </row>
    <row r="49" spans="1:6" s="78" customFormat="1" ht="12.75">
      <c r="A49" s="182">
        <v>0.23</v>
      </c>
      <c r="B49" s="183"/>
      <c r="C49" s="82">
        <f>SUM(C7:C9,C11,C24:C26,C37:C38,C40,C45:C46)</f>
        <v>1495</v>
      </c>
      <c r="D49" s="82">
        <f>SUM(D7:D9,D11,D24:D26,D37:D38,D40,D45:D46)</f>
        <v>1838.8499999999997</v>
      </c>
      <c r="E49" s="83"/>
      <c r="F49" s="84">
        <f>D49-C49</f>
        <v>343.8499999999997</v>
      </c>
    </row>
    <row r="50" spans="1:6" ht="12.75">
      <c r="A50" s="178">
        <v>0.08</v>
      </c>
      <c r="B50" s="179"/>
      <c r="C50" s="3">
        <f>SUM(C2:C6,C10,C12:C23,C27:C36,C39,C41:C44,C47)</f>
        <v>2694</v>
      </c>
      <c r="D50" s="3">
        <f>SUM(D2:D6,D10,D12:D23,D27:D36,D39,D41:D44,D47)</f>
        <v>2927.520000000001</v>
      </c>
      <c r="E50" s="58"/>
      <c r="F50" s="17">
        <f>D50-C50</f>
        <v>233.5200000000009</v>
      </c>
    </row>
    <row r="51" spans="1:6" ht="12.75">
      <c r="A51" s="2" t="s">
        <v>203</v>
      </c>
      <c r="B51" s="2"/>
      <c r="C51" s="3">
        <v>2000</v>
      </c>
      <c r="D51" s="3">
        <f>C51*1.23</f>
        <v>2460</v>
      </c>
      <c r="E51" s="58">
        <v>0.23</v>
      </c>
      <c r="F51" s="9">
        <f>D51-C51</f>
        <v>460</v>
      </c>
    </row>
    <row r="52" spans="1:6" ht="12.75">
      <c r="A52" s="2" t="s">
        <v>204</v>
      </c>
      <c r="B52" s="2"/>
      <c r="C52" s="3">
        <v>1680</v>
      </c>
      <c r="D52" s="3">
        <f>C52*1.08</f>
        <v>1814.4</v>
      </c>
      <c r="E52" s="58">
        <v>0.08</v>
      </c>
      <c r="F52" s="9">
        <f>D52-C52</f>
        <v>134.4000000000001</v>
      </c>
    </row>
    <row r="53" spans="1:6" ht="12.75">
      <c r="A53" s="2" t="s">
        <v>205</v>
      </c>
      <c r="B53" s="2"/>
      <c r="C53" s="3">
        <v>1200</v>
      </c>
      <c r="D53" s="3">
        <f>C53*1.08</f>
        <v>1296</v>
      </c>
      <c r="E53" s="58">
        <v>0.08</v>
      </c>
      <c r="F53" s="9">
        <f>D53-C53</f>
        <v>96</v>
      </c>
    </row>
    <row r="54" spans="1:5" ht="12.75">
      <c r="A54" s="180" t="s">
        <v>93</v>
      </c>
      <c r="B54" s="180"/>
      <c r="C54" s="15">
        <f>SUM(C48,C51:C53)</f>
        <v>9069</v>
      </c>
      <c r="D54" s="15">
        <f>SUM(D48,D51:D53)</f>
        <v>10336.770000000004</v>
      </c>
      <c r="E54" s="2"/>
    </row>
    <row r="55" ht="12.75">
      <c r="D55" s="9">
        <f>D54-C54</f>
        <v>1267.770000000004</v>
      </c>
    </row>
    <row r="56" spans="3:4" ht="12.75">
      <c r="C56" s="60">
        <v>0.08</v>
      </c>
      <c r="D56" s="9">
        <f>F50+F52+F53</f>
        <v>463.920000000001</v>
      </c>
    </row>
    <row r="57" spans="3:4" ht="12.75">
      <c r="C57" s="60">
        <v>0.23</v>
      </c>
      <c r="D57" s="9">
        <f>F49+F51</f>
        <v>803.8499999999997</v>
      </c>
    </row>
    <row r="58" ht="12.75">
      <c r="D58" s="9">
        <f>D56+D57</f>
        <v>1267.7700000000007</v>
      </c>
    </row>
  </sheetData>
  <sheetProtection/>
  <mergeCells count="4">
    <mergeCell ref="A50:B50"/>
    <mergeCell ref="A54:B54"/>
    <mergeCell ref="A48:B48"/>
    <mergeCell ref="A49:B49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D2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1.7109375" style="0" customWidth="1"/>
    <col min="2" max="2" width="15.8515625" style="0" customWidth="1"/>
    <col min="3" max="3" width="14.57421875" style="0" customWidth="1"/>
    <col min="4" max="4" width="16.00390625" style="0" customWidth="1"/>
  </cols>
  <sheetData>
    <row r="4" spans="1:2" s="1" customFormat="1" ht="12.75">
      <c r="A4" s="67" t="s">
        <v>148</v>
      </c>
      <c r="B4" s="67" t="s">
        <v>149</v>
      </c>
    </row>
    <row r="5" spans="1:2" s="1" customFormat="1" ht="12.75">
      <c r="A5" s="85">
        <v>2</v>
      </c>
      <c r="B5" s="85"/>
    </row>
    <row r="6" spans="1:3" ht="12.75">
      <c r="A6" s="4">
        <v>3</v>
      </c>
      <c r="B6" s="2"/>
      <c r="C6" s="9"/>
    </row>
    <row r="7" spans="1:3" ht="12.75">
      <c r="A7" s="4">
        <v>4</v>
      </c>
      <c r="B7" s="2"/>
      <c r="C7" s="9"/>
    </row>
    <row r="8" spans="1:3" ht="12.75">
      <c r="A8" s="4">
        <v>5</v>
      </c>
      <c r="B8" s="76"/>
      <c r="C8" s="9"/>
    </row>
    <row r="10" spans="2:3" ht="12.75">
      <c r="B10" s="9"/>
      <c r="C10" s="9"/>
    </row>
    <row r="12" spans="2:4" ht="12.75">
      <c r="B12" s="9"/>
      <c r="C12" s="9"/>
      <c r="D12" s="9"/>
    </row>
    <row r="13" spans="1:4" ht="12.75">
      <c r="A13">
        <v>2</v>
      </c>
      <c r="B13" s="9">
        <v>70110</v>
      </c>
      <c r="C13" s="9">
        <v>95694</v>
      </c>
      <c r="D13" s="9">
        <f>B13/C13*100</f>
        <v>73.26478149100257</v>
      </c>
    </row>
    <row r="14" spans="1:4" ht="12.75">
      <c r="A14">
        <v>5</v>
      </c>
      <c r="B14" s="9">
        <v>70110</v>
      </c>
      <c r="C14" s="9">
        <v>70110</v>
      </c>
      <c r="D14" s="9">
        <f>B14/C14*100</f>
        <v>100</v>
      </c>
    </row>
    <row r="15" ht="12.75">
      <c r="B15" s="71"/>
    </row>
    <row r="16" ht="12.75">
      <c r="B16" s="71"/>
    </row>
    <row r="17" ht="12.75">
      <c r="B17" s="71"/>
    </row>
    <row r="18" ht="12.75">
      <c r="B18" s="71"/>
    </row>
    <row r="19" ht="12.75">
      <c r="B19" s="71"/>
    </row>
    <row r="20" ht="12.75">
      <c r="B20" s="71"/>
    </row>
    <row r="21" ht="12.75">
      <c r="B21" s="7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8.28125" style="0" customWidth="1"/>
    <col min="2" max="2" width="16.00390625" style="0" customWidth="1"/>
    <col min="3" max="3" width="14.00390625" style="0" customWidth="1"/>
    <col min="4" max="4" width="13.7109375" style="0" customWidth="1"/>
    <col min="5" max="5" width="11.8515625" style="0" customWidth="1"/>
    <col min="6" max="6" width="10.57421875" style="0" customWidth="1"/>
  </cols>
  <sheetData>
    <row r="2" ht="12.75">
      <c r="B2" s="19" t="s">
        <v>213</v>
      </c>
    </row>
    <row r="4" spans="1:6" s="1" customFormat="1" ht="12.75">
      <c r="A4" s="67" t="s">
        <v>148</v>
      </c>
      <c r="B4" s="67" t="s">
        <v>149</v>
      </c>
      <c r="C4" s="67" t="s">
        <v>150</v>
      </c>
      <c r="D4" s="4" t="s">
        <v>151</v>
      </c>
      <c r="E4" s="1" t="s">
        <v>211</v>
      </c>
      <c r="F4" s="1" t="s">
        <v>212</v>
      </c>
    </row>
    <row r="5" spans="1:7" ht="12.75">
      <c r="A5" s="4">
        <v>1</v>
      </c>
      <c r="B5" s="76">
        <v>80</v>
      </c>
      <c r="C5" s="74">
        <v>15</v>
      </c>
      <c r="D5" s="75">
        <f>B5+C5</f>
        <v>95</v>
      </c>
      <c r="E5" s="71">
        <v>10</v>
      </c>
      <c r="F5" s="71">
        <v>5</v>
      </c>
      <c r="G5" s="71">
        <f>E5+F5</f>
        <v>15</v>
      </c>
    </row>
    <row r="6" spans="1:7" ht="12.75">
      <c r="A6" s="4">
        <v>2</v>
      </c>
      <c r="B6" s="68">
        <v>30.21</v>
      </c>
      <c r="C6" s="74">
        <v>15</v>
      </c>
      <c r="D6" s="3">
        <f>B6+C6</f>
        <v>45.21</v>
      </c>
      <c r="E6" s="71">
        <v>10</v>
      </c>
      <c r="F6" s="71">
        <v>5</v>
      </c>
      <c r="G6" s="71">
        <f>E6+F6</f>
        <v>15</v>
      </c>
    </row>
    <row r="7" spans="1:7" ht="12.75">
      <c r="A7" s="4">
        <v>4</v>
      </c>
      <c r="B7" s="68">
        <v>37.38</v>
      </c>
      <c r="C7" s="74">
        <v>20</v>
      </c>
      <c r="D7" s="3">
        <f>B7+C7</f>
        <v>57.38</v>
      </c>
      <c r="E7" s="71">
        <v>10</v>
      </c>
      <c r="F7" s="71">
        <v>10</v>
      </c>
      <c r="G7" s="71">
        <f>E7+F7</f>
        <v>20</v>
      </c>
    </row>
    <row r="8" spans="1:7" ht="12.75">
      <c r="A8" s="4">
        <v>5</v>
      </c>
      <c r="B8" s="76">
        <v>51.74</v>
      </c>
      <c r="C8" s="74">
        <v>20</v>
      </c>
      <c r="D8" s="88">
        <f>B8+C8</f>
        <v>71.74000000000001</v>
      </c>
      <c r="E8" s="71">
        <v>10</v>
      </c>
      <c r="F8" s="71">
        <v>10</v>
      </c>
      <c r="G8" s="71">
        <f>E8+F8</f>
        <v>20</v>
      </c>
    </row>
    <row r="9" spans="1:7" ht="12.75">
      <c r="A9" s="4">
        <v>6</v>
      </c>
      <c r="B9" s="68">
        <v>24.32</v>
      </c>
      <c r="C9" s="74">
        <v>20</v>
      </c>
      <c r="D9" s="3">
        <f>B9+C9</f>
        <v>44.32</v>
      </c>
      <c r="E9" s="71">
        <v>10</v>
      </c>
      <c r="F9" s="71">
        <v>10</v>
      </c>
      <c r="G9" s="71">
        <f>E9+F9</f>
        <v>20</v>
      </c>
    </row>
    <row r="10" spans="3:4" ht="12.75">
      <c r="C10" s="39"/>
      <c r="D10" s="9"/>
    </row>
    <row r="12" spans="2:4" ht="12.75">
      <c r="B12" s="9">
        <v>25215</v>
      </c>
      <c r="C12" s="9">
        <v>25215</v>
      </c>
      <c r="D12" s="9">
        <f>B12/C12*80</f>
        <v>80</v>
      </c>
    </row>
    <row r="13" spans="2:4" ht="12.75">
      <c r="B13" s="9">
        <v>25215</v>
      </c>
      <c r="C13" s="9">
        <v>66761.94</v>
      </c>
      <c r="D13" s="9">
        <f>B13/C13*80</f>
        <v>30.214820000736946</v>
      </c>
    </row>
    <row r="14" spans="2:4" ht="12.75">
      <c r="B14" s="9">
        <v>25215</v>
      </c>
      <c r="C14" s="9">
        <v>53960.1</v>
      </c>
      <c r="D14" s="9">
        <f>B14/C14*80</f>
        <v>37.38317757009346</v>
      </c>
    </row>
    <row r="15" spans="2:4" ht="12.75">
      <c r="B15" s="9">
        <v>25215</v>
      </c>
      <c r="C15" s="9">
        <v>38991</v>
      </c>
      <c r="D15" s="9">
        <f>B15/C15*80</f>
        <v>51.73501577287066</v>
      </c>
    </row>
    <row r="16" spans="2:4" ht="12.75">
      <c r="B16" s="9">
        <v>25215</v>
      </c>
      <c r="C16" s="9">
        <v>82958.64</v>
      </c>
      <c r="D16" s="9">
        <f>B16/C16*80</f>
        <v>24.31573130899928</v>
      </c>
    </row>
    <row r="17" spans="2:4" ht="12.75">
      <c r="B17" s="9"/>
      <c r="C17" s="9"/>
      <c r="D17" s="9"/>
    </row>
    <row r="18" spans="2:4" ht="12.75">
      <c r="B18" s="71">
        <v>15</v>
      </c>
      <c r="C18" s="71">
        <v>20</v>
      </c>
      <c r="D18" s="72">
        <f>B18/C18*20</f>
        <v>15</v>
      </c>
    </row>
    <row r="19" spans="2:4" ht="12.75">
      <c r="B19" s="71">
        <v>15</v>
      </c>
      <c r="C19" s="73">
        <v>20</v>
      </c>
      <c r="D19" s="72">
        <f>B19/C19*20</f>
        <v>15</v>
      </c>
    </row>
    <row r="20" spans="2:4" ht="12.75">
      <c r="B20" s="71">
        <v>20</v>
      </c>
      <c r="C20" s="73">
        <v>20</v>
      </c>
      <c r="D20" s="72">
        <f>B20/C20*20</f>
        <v>20</v>
      </c>
    </row>
    <row r="21" spans="2:4" ht="12.75">
      <c r="B21" s="71">
        <v>20</v>
      </c>
      <c r="C21" s="73">
        <v>20</v>
      </c>
      <c r="D21" s="72">
        <f>B21/C21*20</f>
        <v>20</v>
      </c>
    </row>
    <row r="22" spans="2:4" ht="12.75">
      <c r="B22" s="71">
        <v>20</v>
      </c>
      <c r="C22" s="73">
        <v>20</v>
      </c>
      <c r="D22" s="72">
        <f>B22/C22*20</f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0.28125" style="0" customWidth="1"/>
    <col min="2" max="2" width="11.8515625" style="1" customWidth="1"/>
    <col min="3" max="4" width="8.57421875" style="0" customWidth="1"/>
    <col min="5" max="5" width="13.28125" style="0" customWidth="1"/>
    <col min="6" max="6" width="14.00390625" style="0" customWidth="1"/>
    <col min="7" max="7" width="13.421875" style="0" customWidth="1"/>
    <col min="8" max="8" width="13.7109375" style="0" customWidth="1"/>
    <col min="9" max="9" width="13.140625" style="0" customWidth="1"/>
  </cols>
  <sheetData>
    <row r="2" spans="1:7" ht="12.75">
      <c r="A2" s="184" t="s">
        <v>235</v>
      </c>
      <c r="B2" s="184"/>
      <c r="C2" s="184"/>
      <c r="D2" s="184"/>
      <c r="E2" s="184"/>
      <c r="F2" s="184"/>
      <c r="G2" s="184"/>
    </row>
    <row r="4" spans="1:7" s="1" customFormat="1" ht="12.75">
      <c r="A4" s="67" t="s">
        <v>214</v>
      </c>
      <c r="B4" s="67" t="s">
        <v>215</v>
      </c>
      <c r="C4" s="67" t="s">
        <v>217</v>
      </c>
      <c r="D4" s="67" t="s">
        <v>133</v>
      </c>
      <c r="E4" s="67" t="s">
        <v>135</v>
      </c>
      <c r="F4" s="67" t="s">
        <v>1</v>
      </c>
      <c r="G4" s="67" t="s">
        <v>2</v>
      </c>
    </row>
    <row r="5" spans="1:9" ht="15" customHeight="1">
      <c r="A5" s="92" t="s">
        <v>216</v>
      </c>
      <c r="B5" s="90" t="s">
        <v>218</v>
      </c>
      <c r="C5" s="90" t="s">
        <v>219</v>
      </c>
      <c r="D5" s="69">
        <v>4</v>
      </c>
      <c r="E5" s="50">
        <v>200</v>
      </c>
      <c r="F5" s="50">
        <f>D5*E5</f>
        <v>800</v>
      </c>
      <c r="G5" s="50">
        <f aca="true" t="shared" si="0" ref="G5:G14">F5*1.23</f>
        <v>984</v>
      </c>
      <c r="H5" s="9"/>
      <c r="I5" s="9"/>
    </row>
    <row r="6" spans="1:9" ht="15" customHeight="1">
      <c r="A6" s="92" t="s">
        <v>234</v>
      </c>
      <c r="B6" s="90" t="s">
        <v>220</v>
      </c>
      <c r="C6" s="90" t="s">
        <v>219</v>
      </c>
      <c r="D6" s="69">
        <v>3</v>
      </c>
      <c r="E6" s="50">
        <v>200</v>
      </c>
      <c r="F6" s="50">
        <f>ROUNDUP(D6*E6,2)</f>
        <v>600</v>
      </c>
      <c r="G6" s="50">
        <f t="shared" si="0"/>
        <v>738</v>
      </c>
      <c r="H6" s="9"/>
      <c r="I6" s="9"/>
    </row>
    <row r="7" spans="1:9" s="95" customFormat="1" ht="63.75">
      <c r="A7" s="93" t="s">
        <v>221</v>
      </c>
      <c r="B7" s="90" t="s">
        <v>220</v>
      </c>
      <c r="C7" s="90" t="s">
        <v>219</v>
      </c>
      <c r="D7" s="69">
        <v>5</v>
      </c>
      <c r="E7" s="50"/>
      <c r="F7" s="50">
        <v>4000</v>
      </c>
      <c r="G7" s="50">
        <f t="shared" si="0"/>
        <v>4920</v>
      </c>
      <c r="H7" s="94"/>
      <c r="I7" s="94"/>
    </row>
    <row r="8" spans="1:9" ht="25.5">
      <c r="A8" s="92" t="s">
        <v>222</v>
      </c>
      <c r="B8" s="90" t="s">
        <v>220</v>
      </c>
      <c r="C8" s="90" t="s">
        <v>219</v>
      </c>
      <c r="D8" s="69">
        <v>2</v>
      </c>
      <c r="E8" s="50">
        <v>200</v>
      </c>
      <c r="F8" s="50">
        <f>D8*E8</f>
        <v>400</v>
      </c>
      <c r="G8" s="50">
        <f t="shared" si="0"/>
        <v>492</v>
      </c>
      <c r="H8" s="9"/>
      <c r="I8" s="9"/>
    </row>
    <row r="9" spans="1:9" ht="15" customHeight="1">
      <c r="A9" s="92" t="s">
        <v>223</v>
      </c>
      <c r="B9" s="90" t="s">
        <v>220</v>
      </c>
      <c r="C9" s="90" t="s">
        <v>224</v>
      </c>
      <c r="D9" s="69">
        <v>2</v>
      </c>
      <c r="E9" s="50">
        <v>200</v>
      </c>
      <c r="F9" s="50">
        <f>ROUNDUP(D9*E9,2)</f>
        <v>400</v>
      </c>
      <c r="G9" s="50">
        <f t="shared" si="0"/>
        <v>492</v>
      </c>
      <c r="H9" s="9"/>
      <c r="I9" s="9"/>
    </row>
    <row r="10" spans="1:9" ht="25.5">
      <c r="A10" s="92" t="s">
        <v>225</v>
      </c>
      <c r="B10" s="90" t="s">
        <v>220</v>
      </c>
      <c r="C10" s="90" t="s">
        <v>224</v>
      </c>
      <c r="D10" s="69">
        <v>1</v>
      </c>
      <c r="E10" s="50">
        <v>300</v>
      </c>
      <c r="F10" s="50">
        <f>D10*E10</f>
        <v>300</v>
      </c>
      <c r="G10" s="50">
        <f t="shared" si="0"/>
        <v>369</v>
      </c>
      <c r="H10" s="9"/>
      <c r="I10" s="9"/>
    </row>
    <row r="11" spans="1:9" ht="25.5">
      <c r="A11" s="92" t="s">
        <v>226</v>
      </c>
      <c r="B11" s="90" t="s">
        <v>220</v>
      </c>
      <c r="C11" s="90" t="s">
        <v>224</v>
      </c>
      <c r="D11" s="69">
        <v>1</v>
      </c>
      <c r="E11" s="50">
        <v>330</v>
      </c>
      <c r="F11" s="50">
        <f>D11*E11</f>
        <v>330</v>
      </c>
      <c r="G11" s="50">
        <f t="shared" si="0"/>
        <v>405.9</v>
      </c>
      <c r="H11" s="9"/>
      <c r="I11" s="9"/>
    </row>
    <row r="12" spans="1:9" ht="25.5">
      <c r="A12" s="92" t="s">
        <v>227</v>
      </c>
      <c r="B12" s="90" t="s">
        <v>220</v>
      </c>
      <c r="C12" s="90" t="s">
        <v>224</v>
      </c>
      <c r="D12" s="69">
        <v>30</v>
      </c>
      <c r="E12" s="50">
        <v>33</v>
      </c>
      <c r="F12" s="50">
        <f>D12*E12</f>
        <v>990</v>
      </c>
      <c r="G12" s="50">
        <f t="shared" si="0"/>
        <v>1217.7</v>
      </c>
      <c r="H12" s="9"/>
      <c r="I12" s="9"/>
    </row>
    <row r="13" spans="1:9" ht="15" customHeight="1">
      <c r="A13" s="92" t="s">
        <v>228</v>
      </c>
      <c r="B13" s="90" t="s">
        <v>220</v>
      </c>
      <c r="C13" s="90" t="s">
        <v>219</v>
      </c>
      <c r="D13" s="69">
        <v>5</v>
      </c>
      <c r="E13" s="50">
        <v>20</v>
      </c>
      <c r="F13" s="50">
        <f>D13*E13</f>
        <v>100</v>
      </c>
      <c r="G13" s="50">
        <f t="shared" si="0"/>
        <v>123</v>
      </c>
      <c r="H13" s="9"/>
      <c r="I13" s="9"/>
    </row>
    <row r="14" spans="1:9" ht="53.25" customHeight="1">
      <c r="A14" s="92" t="s">
        <v>236</v>
      </c>
      <c r="B14" s="90" t="s">
        <v>220</v>
      </c>
      <c r="C14" s="4" t="s">
        <v>224</v>
      </c>
      <c r="D14" s="2">
        <v>100</v>
      </c>
      <c r="E14" s="3">
        <v>3</v>
      </c>
      <c r="F14" s="50">
        <f>D14*E14</f>
        <v>300</v>
      </c>
      <c r="G14" s="50">
        <f t="shared" si="0"/>
        <v>369</v>
      </c>
      <c r="H14" s="9"/>
      <c r="I14" s="9"/>
    </row>
    <row r="15" spans="1:8" ht="15" customHeight="1">
      <c r="A15" s="65"/>
      <c r="B15" s="91"/>
      <c r="C15" s="65"/>
      <c r="D15" s="66"/>
      <c r="E15" s="87" t="s">
        <v>93</v>
      </c>
      <c r="F15" s="87">
        <f>SUM(F5:F14)</f>
        <v>8220</v>
      </c>
      <c r="G15" s="87">
        <f>SUM(G5:G14)</f>
        <v>10110.6</v>
      </c>
      <c r="H15" s="9"/>
    </row>
    <row r="16" spans="4:8" ht="12" customHeight="1">
      <c r="D16" s="66"/>
      <c r="E16" s="70"/>
      <c r="F16" s="18"/>
      <c r="G16" s="18"/>
      <c r="H16" s="9"/>
    </row>
    <row r="17" spans="1:8" ht="12.75">
      <c r="A17" t="s">
        <v>229</v>
      </c>
      <c r="D17" s="66"/>
      <c r="E17" s="17"/>
      <c r="F17" s="17"/>
      <c r="G17" s="17"/>
      <c r="H17" s="9"/>
    </row>
    <row r="18" spans="1:8" ht="12.75">
      <c r="A18" t="s">
        <v>230</v>
      </c>
      <c r="D18" s="39"/>
      <c r="E18" s="17"/>
      <c r="F18" s="17"/>
      <c r="G18" s="17"/>
      <c r="H18" s="9"/>
    </row>
    <row r="19" spans="1:6" ht="12.75">
      <c r="A19" t="s">
        <v>231</v>
      </c>
      <c r="E19" s="39"/>
      <c r="F19" s="9"/>
    </row>
    <row r="20" ht="12.75">
      <c r="A20" t="s">
        <v>232</v>
      </c>
    </row>
    <row r="21" spans="1:7" ht="12.75">
      <c r="A21" t="s">
        <v>233</v>
      </c>
      <c r="G21" s="86"/>
    </row>
  </sheetData>
  <sheetProtection/>
  <mergeCells count="1">
    <mergeCell ref="A2:G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F3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140625" style="0" customWidth="1"/>
    <col min="2" max="2" width="28.8515625" style="0" customWidth="1"/>
    <col min="3" max="3" width="12.421875" style="0" customWidth="1"/>
    <col min="4" max="4" width="11.00390625" style="0" customWidth="1"/>
    <col min="5" max="5" width="12.421875" style="0" customWidth="1"/>
    <col min="6" max="6" width="14.8515625" style="0" customWidth="1"/>
  </cols>
  <sheetData>
    <row r="3" spans="1:6" ht="12.75">
      <c r="A3" s="5" t="s">
        <v>3</v>
      </c>
      <c r="B3" s="5" t="s">
        <v>237</v>
      </c>
      <c r="C3" s="5" t="s">
        <v>258</v>
      </c>
      <c r="D3" s="5" t="s">
        <v>199</v>
      </c>
      <c r="E3" s="5" t="s">
        <v>238</v>
      </c>
      <c r="F3" s="5" t="s">
        <v>239</v>
      </c>
    </row>
    <row r="4" spans="1:6" ht="12.75">
      <c r="A4" s="106" t="s">
        <v>4</v>
      </c>
      <c r="B4" s="108" t="s">
        <v>241</v>
      </c>
      <c r="C4" s="107" t="s">
        <v>224</v>
      </c>
      <c r="D4" s="69">
        <v>10</v>
      </c>
      <c r="E4" s="50">
        <v>0.93</v>
      </c>
      <c r="F4" s="50">
        <f>D4*E4</f>
        <v>9.3</v>
      </c>
    </row>
    <row r="5" spans="1:6" ht="25.5">
      <c r="A5" s="106" t="s">
        <v>5</v>
      </c>
      <c r="B5" s="63" t="s">
        <v>257</v>
      </c>
      <c r="C5" s="81" t="s">
        <v>259</v>
      </c>
      <c r="D5" s="69">
        <v>1</v>
      </c>
      <c r="E5" s="8">
        <v>29.52</v>
      </c>
      <c r="F5" s="50">
        <f aca="true" t="shared" si="0" ref="F5:F31">D5*E5</f>
        <v>29.52</v>
      </c>
    </row>
    <row r="6" spans="1:6" ht="12.75">
      <c r="A6" s="106" t="s">
        <v>6</v>
      </c>
      <c r="B6" s="63" t="s">
        <v>286</v>
      </c>
      <c r="C6" s="81" t="s">
        <v>224</v>
      </c>
      <c r="D6" s="69">
        <v>60</v>
      </c>
      <c r="E6" s="8">
        <v>1.23</v>
      </c>
      <c r="F6" s="50">
        <f t="shared" si="0"/>
        <v>73.8</v>
      </c>
    </row>
    <row r="7" spans="1:6" ht="25.5">
      <c r="A7" s="106" t="s">
        <v>7</v>
      </c>
      <c r="B7" s="108" t="s">
        <v>260</v>
      </c>
      <c r="C7" s="107" t="s">
        <v>259</v>
      </c>
      <c r="D7" s="69">
        <v>12</v>
      </c>
      <c r="E7" s="8">
        <v>3.08</v>
      </c>
      <c r="F7" s="50">
        <f>D7*E7</f>
        <v>36.96</v>
      </c>
    </row>
    <row r="8" spans="1:6" ht="12.75">
      <c r="A8" s="106" t="s">
        <v>8</v>
      </c>
      <c r="B8" s="63" t="s">
        <v>261</v>
      </c>
      <c r="C8" s="106" t="s">
        <v>224</v>
      </c>
      <c r="D8" s="113">
        <v>1</v>
      </c>
      <c r="E8" s="8">
        <v>2.7</v>
      </c>
      <c r="F8" s="50">
        <f t="shared" si="0"/>
        <v>2.7</v>
      </c>
    </row>
    <row r="9" spans="1:6" ht="12.75">
      <c r="A9" s="106" t="s">
        <v>9</v>
      </c>
      <c r="B9" s="63" t="s">
        <v>262</v>
      </c>
      <c r="C9" s="106" t="s">
        <v>224</v>
      </c>
      <c r="D9" s="113">
        <v>2</v>
      </c>
      <c r="E9" s="8">
        <v>1.6</v>
      </c>
      <c r="F9" s="50">
        <f t="shared" si="0"/>
        <v>3.2</v>
      </c>
    </row>
    <row r="10" spans="1:6" ht="12.75">
      <c r="A10" s="106" t="s">
        <v>10</v>
      </c>
      <c r="B10" s="63" t="s">
        <v>277</v>
      </c>
      <c r="C10" s="106" t="s">
        <v>224</v>
      </c>
      <c r="D10" s="113">
        <v>1</v>
      </c>
      <c r="E10" s="8">
        <v>6.15</v>
      </c>
      <c r="F10" s="50">
        <f t="shared" si="0"/>
        <v>6.15</v>
      </c>
    </row>
    <row r="11" spans="1:6" ht="12.75">
      <c r="A11" s="106" t="s">
        <v>11</v>
      </c>
      <c r="B11" s="63" t="s">
        <v>263</v>
      </c>
      <c r="C11" s="106" t="s">
        <v>259</v>
      </c>
      <c r="D11" s="113">
        <v>2</v>
      </c>
      <c r="E11" s="8">
        <v>1.11</v>
      </c>
      <c r="F11" s="50">
        <f t="shared" si="0"/>
        <v>2.22</v>
      </c>
    </row>
    <row r="12" spans="1:6" ht="12.75">
      <c r="A12" s="106" t="s">
        <v>12</v>
      </c>
      <c r="B12" s="63" t="s">
        <v>264</v>
      </c>
      <c r="C12" s="106" t="s">
        <v>259</v>
      </c>
      <c r="D12" s="113">
        <v>2</v>
      </c>
      <c r="E12" s="8">
        <v>2.22</v>
      </c>
      <c r="F12" s="50">
        <f t="shared" si="0"/>
        <v>4.44</v>
      </c>
    </row>
    <row r="13" spans="1:6" ht="12.75">
      <c r="A13" s="106" t="s">
        <v>13</v>
      </c>
      <c r="B13" s="63" t="s">
        <v>282</v>
      </c>
      <c r="C13" s="106" t="s">
        <v>224</v>
      </c>
      <c r="D13" s="113">
        <v>3</v>
      </c>
      <c r="E13" s="8">
        <v>2.58</v>
      </c>
      <c r="F13" s="50">
        <f t="shared" si="0"/>
        <v>7.74</v>
      </c>
    </row>
    <row r="14" spans="1:6" ht="12.75">
      <c r="A14" s="106" t="s">
        <v>24</v>
      </c>
      <c r="B14" s="63" t="s">
        <v>278</v>
      </c>
      <c r="C14" s="106" t="s">
        <v>259</v>
      </c>
      <c r="D14" s="113">
        <v>3</v>
      </c>
      <c r="E14" s="8">
        <v>5.66</v>
      </c>
      <c r="F14" s="50">
        <f t="shared" si="0"/>
        <v>16.98</v>
      </c>
    </row>
    <row r="15" spans="1:6" ht="12.75">
      <c r="A15" s="106" t="s">
        <v>25</v>
      </c>
      <c r="B15" s="63" t="s">
        <v>279</v>
      </c>
      <c r="C15" s="106" t="s">
        <v>259</v>
      </c>
      <c r="D15" s="113">
        <v>10</v>
      </c>
      <c r="E15" s="8">
        <v>5.78</v>
      </c>
      <c r="F15" s="50">
        <f t="shared" si="0"/>
        <v>57.800000000000004</v>
      </c>
    </row>
    <row r="16" spans="1:6" ht="12.75">
      <c r="A16" s="106" t="s">
        <v>26</v>
      </c>
      <c r="B16" s="109" t="s">
        <v>240</v>
      </c>
      <c r="C16" s="110" t="s">
        <v>259</v>
      </c>
      <c r="D16" s="113">
        <v>3</v>
      </c>
      <c r="E16" s="8">
        <v>35.67</v>
      </c>
      <c r="F16" s="50">
        <f>D16*E16</f>
        <v>107.01</v>
      </c>
    </row>
    <row r="17" spans="1:6" ht="12.75">
      <c r="A17" s="106" t="s">
        <v>27</v>
      </c>
      <c r="B17" s="109" t="s">
        <v>291</v>
      </c>
      <c r="C17" s="110" t="s">
        <v>224</v>
      </c>
      <c r="D17" s="113">
        <v>2</v>
      </c>
      <c r="E17" s="8">
        <v>1.72</v>
      </c>
      <c r="F17" s="50">
        <f>D17*E17</f>
        <v>3.44</v>
      </c>
    </row>
    <row r="18" spans="1:6" ht="12.75">
      <c r="A18" s="106" t="s">
        <v>28</v>
      </c>
      <c r="B18" s="63" t="s">
        <v>265</v>
      </c>
      <c r="C18" s="106" t="s">
        <v>224</v>
      </c>
      <c r="D18" s="113">
        <v>2</v>
      </c>
      <c r="E18" s="8">
        <v>0.22</v>
      </c>
      <c r="F18" s="50">
        <f t="shared" si="0"/>
        <v>0.44</v>
      </c>
    </row>
    <row r="19" spans="1:6" ht="12.75">
      <c r="A19" s="106" t="s">
        <v>29</v>
      </c>
      <c r="B19" s="63" t="s">
        <v>266</v>
      </c>
      <c r="C19" s="106" t="s">
        <v>267</v>
      </c>
      <c r="D19" s="113">
        <v>40</v>
      </c>
      <c r="E19" s="8">
        <v>12.18</v>
      </c>
      <c r="F19" s="50">
        <f t="shared" si="0"/>
        <v>487.2</v>
      </c>
    </row>
    <row r="20" spans="1:6" ht="12.75">
      <c r="A20" s="106" t="s">
        <v>30</v>
      </c>
      <c r="B20" s="63" t="s">
        <v>268</v>
      </c>
      <c r="C20" s="106" t="s">
        <v>259</v>
      </c>
      <c r="D20" s="113">
        <v>3</v>
      </c>
      <c r="E20" s="8">
        <v>3.45</v>
      </c>
      <c r="F20" s="50">
        <f t="shared" si="0"/>
        <v>10.350000000000001</v>
      </c>
    </row>
    <row r="21" spans="1:6" ht="12.75">
      <c r="A21" s="106" t="s">
        <v>73</v>
      </c>
      <c r="B21" s="63" t="s">
        <v>283</v>
      </c>
      <c r="C21" s="106" t="s">
        <v>284</v>
      </c>
      <c r="D21" s="113">
        <v>48</v>
      </c>
      <c r="E21" s="8">
        <v>1.97</v>
      </c>
      <c r="F21" s="50">
        <f t="shared" si="0"/>
        <v>94.56</v>
      </c>
    </row>
    <row r="22" spans="1:6" ht="12.75">
      <c r="A22" s="106" t="s">
        <v>109</v>
      </c>
      <c r="B22" s="63" t="s">
        <v>285</v>
      </c>
      <c r="C22" s="106" t="s">
        <v>224</v>
      </c>
      <c r="D22" s="113">
        <v>8</v>
      </c>
      <c r="E22" s="8">
        <v>5.04</v>
      </c>
      <c r="F22" s="50">
        <f t="shared" si="0"/>
        <v>40.32</v>
      </c>
    </row>
    <row r="23" spans="1:6" ht="12.75">
      <c r="A23" s="106" t="s">
        <v>110</v>
      </c>
      <c r="B23" s="63" t="s">
        <v>269</v>
      </c>
      <c r="C23" s="106" t="s">
        <v>224</v>
      </c>
      <c r="D23" s="113">
        <v>15</v>
      </c>
      <c r="E23" s="8">
        <v>4.92</v>
      </c>
      <c r="F23" s="50">
        <f t="shared" si="0"/>
        <v>73.8</v>
      </c>
    </row>
    <row r="24" spans="1:6" ht="12.75">
      <c r="A24" s="106" t="s">
        <v>111</v>
      </c>
      <c r="B24" s="109" t="s">
        <v>270</v>
      </c>
      <c r="C24" s="110" t="s">
        <v>224</v>
      </c>
      <c r="D24" s="113">
        <v>5</v>
      </c>
      <c r="E24" s="8">
        <v>4.92</v>
      </c>
      <c r="F24" s="50">
        <f t="shared" si="0"/>
        <v>24.6</v>
      </c>
    </row>
    <row r="25" spans="1:6" ht="12.75">
      <c r="A25" s="106" t="s">
        <v>112</v>
      </c>
      <c r="B25" s="109" t="s">
        <v>271</v>
      </c>
      <c r="C25" s="110" t="s">
        <v>224</v>
      </c>
      <c r="D25" s="113">
        <v>10</v>
      </c>
      <c r="E25" s="8">
        <v>4.92</v>
      </c>
      <c r="F25" s="50">
        <f t="shared" si="0"/>
        <v>49.2</v>
      </c>
    </row>
    <row r="26" spans="1:6" ht="12.75">
      <c r="A26" s="106" t="s">
        <v>113</v>
      </c>
      <c r="B26" s="109" t="s">
        <v>272</v>
      </c>
      <c r="C26" s="110" t="s">
        <v>224</v>
      </c>
      <c r="D26" s="113">
        <v>5</v>
      </c>
      <c r="E26" s="8">
        <v>4.92</v>
      </c>
      <c r="F26" s="50">
        <f t="shared" si="0"/>
        <v>24.6</v>
      </c>
    </row>
    <row r="27" spans="1:6" ht="12.75">
      <c r="A27" s="106" t="s">
        <v>280</v>
      </c>
      <c r="B27" s="109" t="s">
        <v>273</v>
      </c>
      <c r="C27" s="110" t="s">
        <v>224</v>
      </c>
      <c r="D27" s="113">
        <v>8</v>
      </c>
      <c r="E27" s="8">
        <v>4.92</v>
      </c>
      <c r="F27" s="50">
        <f t="shared" si="0"/>
        <v>39.36</v>
      </c>
    </row>
    <row r="28" spans="1:6" ht="25.5">
      <c r="A28" s="106" t="s">
        <v>287</v>
      </c>
      <c r="B28" s="109" t="s">
        <v>274</v>
      </c>
      <c r="C28" s="110" t="s">
        <v>224</v>
      </c>
      <c r="D28" s="113">
        <v>10</v>
      </c>
      <c r="E28" s="8">
        <v>14.02</v>
      </c>
      <c r="F28" s="50">
        <f t="shared" si="0"/>
        <v>140.2</v>
      </c>
    </row>
    <row r="29" spans="1:6" ht="25.5">
      <c r="A29" s="106" t="s">
        <v>288</v>
      </c>
      <c r="B29" s="109" t="s">
        <v>275</v>
      </c>
      <c r="C29" s="110" t="s">
        <v>224</v>
      </c>
      <c r="D29" s="113">
        <v>5</v>
      </c>
      <c r="E29" s="8">
        <v>14.02</v>
      </c>
      <c r="F29" s="50">
        <f t="shared" si="0"/>
        <v>70.1</v>
      </c>
    </row>
    <row r="30" spans="1:6" ht="12.75">
      <c r="A30" s="106" t="s">
        <v>289</v>
      </c>
      <c r="B30" s="109" t="s">
        <v>281</v>
      </c>
      <c r="C30" s="110" t="s">
        <v>224</v>
      </c>
      <c r="D30" s="113">
        <v>1</v>
      </c>
      <c r="E30" s="8">
        <v>1.11</v>
      </c>
      <c r="F30" s="50">
        <f t="shared" si="0"/>
        <v>1.11</v>
      </c>
    </row>
    <row r="31" spans="1:6" ht="12.75">
      <c r="A31" s="106" t="s">
        <v>290</v>
      </c>
      <c r="B31" s="109" t="s">
        <v>276</v>
      </c>
      <c r="C31" s="110" t="s">
        <v>259</v>
      </c>
      <c r="D31" s="113">
        <v>4</v>
      </c>
      <c r="E31" s="8">
        <v>0.43</v>
      </c>
      <c r="F31" s="50">
        <f t="shared" si="0"/>
        <v>1.72</v>
      </c>
    </row>
    <row r="32" spans="1:6" ht="12.75">
      <c r="A32" s="4"/>
      <c r="B32" s="111"/>
      <c r="C32" s="112"/>
      <c r="D32" s="114"/>
      <c r="E32" s="8"/>
      <c r="F32" s="11">
        <f>SUM(F4:F31)</f>
        <v>1418.8199999999997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D22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1.7109375" style="0" customWidth="1"/>
    <col min="2" max="2" width="15.8515625" style="0" customWidth="1"/>
    <col min="3" max="3" width="14.57421875" style="0" customWidth="1"/>
    <col min="4" max="4" width="16.00390625" style="0" customWidth="1"/>
  </cols>
  <sheetData>
    <row r="5" spans="2:3" ht="12.75">
      <c r="B5" s="9"/>
      <c r="C5" s="9"/>
    </row>
    <row r="7" spans="2:4" ht="12.75">
      <c r="B7" s="9"/>
      <c r="C7" s="9"/>
      <c r="D7" s="9"/>
    </row>
    <row r="8" spans="1:4" ht="12.75">
      <c r="A8">
        <v>1</v>
      </c>
      <c r="B8" s="9">
        <v>87900.72</v>
      </c>
      <c r="C8" s="9">
        <v>127000</v>
      </c>
      <c r="D8" s="9">
        <f>B8/C8*100</f>
        <v>69.21316535433071</v>
      </c>
    </row>
    <row r="9" spans="1:4" ht="12.75">
      <c r="A9">
        <v>4</v>
      </c>
      <c r="B9" s="9">
        <v>87900.72</v>
      </c>
      <c r="C9" s="9">
        <v>202950</v>
      </c>
      <c r="D9" s="9">
        <f>B9/C9*100</f>
        <v>43.31151515151515</v>
      </c>
    </row>
    <row r="10" spans="1:4" ht="12.75">
      <c r="A10">
        <v>5</v>
      </c>
      <c r="B10" s="9">
        <v>87900.72</v>
      </c>
      <c r="C10" s="9">
        <v>87900.72</v>
      </c>
      <c r="D10" s="9">
        <f>B10/C10*100</f>
        <v>100</v>
      </c>
    </row>
    <row r="11" spans="1:4" ht="12.75">
      <c r="A11">
        <v>6</v>
      </c>
      <c r="B11" s="9">
        <v>87900.72</v>
      </c>
      <c r="C11" s="9">
        <v>91881</v>
      </c>
      <c r="D11" s="9">
        <f>B11/C11*100</f>
        <v>95.66800535475234</v>
      </c>
    </row>
    <row r="12" spans="2:4" ht="12.75">
      <c r="B12" s="9"/>
      <c r="C12" s="9"/>
      <c r="D12" s="9"/>
    </row>
    <row r="13" spans="2:4" ht="12.75">
      <c r="B13" s="9"/>
      <c r="C13" s="9"/>
      <c r="D13" s="9"/>
    </row>
    <row r="14" spans="2:4" ht="12.75">
      <c r="B14" s="9"/>
      <c r="C14" s="9"/>
      <c r="D14" s="9"/>
    </row>
    <row r="15" spans="2:4" ht="12.75">
      <c r="B15" s="9"/>
      <c r="C15" s="9"/>
      <c r="D15" s="9"/>
    </row>
    <row r="16" spans="2:4" ht="12.75">
      <c r="B16" s="9"/>
      <c r="C16" s="9"/>
      <c r="D16" s="9"/>
    </row>
    <row r="22" ht="15">
      <c r="B22" s="1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F2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140625" style="0" customWidth="1"/>
    <col min="2" max="2" width="24.140625" style="0" customWidth="1"/>
    <col min="3" max="3" width="11.00390625" style="0" customWidth="1"/>
    <col min="4" max="4" width="12.421875" style="0" customWidth="1"/>
    <col min="5" max="5" width="15.57421875" style="0" customWidth="1"/>
    <col min="6" max="6" width="15.28125" style="0" customWidth="1"/>
    <col min="7" max="7" width="13.28125" style="0" customWidth="1"/>
  </cols>
  <sheetData>
    <row r="3" spans="1:6" ht="12.75">
      <c r="A3" s="5" t="s">
        <v>3</v>
      </c>
      <c r="B3" s="98" t="s">
        <v>237</v>
      </c>
      <c r="C3" s="5" t="s">
        <v>199</v>
      </c>
      <c r="D3" s="5" t="s">
        <v>238</v>
      </c>
      <c r="E3" s="5" t="s">
        <v>1</v>
      </c>
      <c r="F3" s="79" t="s">
        <v>2</v>
      </c>
    </row>
    <row r="4" spans="1:6" ht="15" customHeight="1">
      <c r="A4" s="96" t="s">
        <v>4</v>
      </c>
      <c r="B4" s="80" t="s">
        <v>242</v>
      </c>
      <c r="C4" s="97">
        <v>3</v>
      </c>
      <c r="D4" s="50">
        <v>302</v>
      </c>
      <c r="E4" s="50">
        <f>C4*D4</f>
        <v>906</v>
      </c>
      <c r="F4" s="3">
        <f>E4*1.23</f>
        <v>1114.3799999999999</v>
      </c>
    </row>
    <row r="5" spans="1:6" ht="25.5">
      <c r="A5" s="96" t="s">
        <v>5</v>
      </c>
      <c r="B5" s="80" t="s">
        <v>253</v>
      </c>
      <c r="C5" s="97">
        <v>6</v>
      </c>
      <c r="D5" s="50">
        <v>1359</v>
      </c>
      <c r="E5" s="50">
        <f aca="true" t="shared" si="0" ref="E5:E14">C5*D5</f>
        <v>8154</v>
      </c>
      <c r="F5" s="3">
        <f aca="true" t="shared" si="1" ref="F5:F15">E5*1.23</f>
        <v>10029.42</v>
      </c>
    </row>
    <row r="6" spans="1:6" ht="15" customHeight="1">
      <c r="A6" s="96" t="s">
        <v>6</v>
      </c>
      <c r="B6" s="80" t="s">
        <v>249</v>
      </c>
      <c r="C6" s="97">
        <v>1</v>
      </c>
      <c r="D6" s="50">
        <v>473</v>
      </c>
      <c r="E6" s="50">
        <f t="shared" si="0"/>
        <v>473</v>
      </c>
      <c r="F6" s="3">
        <f t="shared" si="1"/>
        <v>581.79</v>
      </c>
    </row>
    <row r="7" spans="1:6" ht="15" customHeight="1">
      <c r="A7" s="96" t="s">
        <v>7</v>
      </c>
      <c r="B7" s="80" t="s">
        <v>243</v>
      </c>
      <c r="C7" s="97">
        <v>3</v>
      </c>
      <c r="D7" s="50">
        <v>427</v>
      </c>
      <c r="E7" s="50">
        <f t="shared" si="0"/>
        <v>1281</v>
      </c>
      <c r="F7" s="3">
        <f t="shared" si="1"/>
        <v>1575.6299999999999</v>
      </c>
    </row>
    <row r="8" spans="1:6" ht="25.5">
      <c r="A8" s="96" t="s">
        <v>8</v>
      </c>
      <c r="B8" s="80" t="s">
        <v>250</v>
      </c>
      <c r="C8" s="97">
        <v>8</v>
      </c>
      <c r="D8" s="50">
        <v>946</v>
      </c>
      <c r="E8" s="50">
        <f t="shared" si="0"/>
        <v>7568</v>
      </c>
      <c r="F8" s="3">
        <f t="shared" si="1"/>
        <v>9308.64</v>
      </c>
    </row>
    <row r="9" spans="1:6" ht="25.5">
      <c r="A9" s="96" t="s">
        <v>9</v>
      </c>
      <c r="B9" s="80" t="s">
        <v>244</v>
      </c>
      <c r="C9" s="97">
        <v>11</v>
      </c>
      <c r="D9" s="50">
        <v>607</v>
      </c>
      <c r="E9" s="50">
        <f t="shared" si="0"/>
        <v>6677</v>
      </c>
      <c r="F9" s="3">
        <f t="shared" si="1"/>
        <v>8212.71</v>
      </c>
    </row>
    <row r="10" spans="1:6" ht="25.5">
      <c r="A10" s="96" t="s">
        <v>10</v>
      </c>
      <c r="B10" s="80" t="s">
        <v>245</v>
      </c>
      <c r="C10" s="97">
        <v>1</v>
      </c>
      <c r="D10" s="50">
        <v>514</v>
      </c>
      <c r="E10" s="50">
        <f t="shared" si="0"/>
        <v>514</v>
      </c>
      <c r="F10" s="3">
        <f t="shared" si="1"/>
        <v>632.22</v>
      </c>
    </row>
    <row r="11" spans="1:6" ht="25.5">
      <c r="A11" s="96" t="s">
        <v>11</v>
      </c>
      <c r="B11" s="80" t="s">
        <v>246</v>
      </c>
      <c r="C11" s="97">
        <v>1</v>
      </c>
      <c r="D11" s="50">
        <v>440</v>
      </c>
      <c r="E11" s="50">
        <f t="shared" si="0"/>
        <v>440</v>
      </c>
      <c r="F11" s="3">
        <f t="shared" si="1"/>
        <v>541.2</v>
      </c>
    </row>
    <row r="12" spans="1:6" ht="25.5">
      <c r="A12" s="96" t="s">
        <v>12</v>
      </c>
      <c r="B12" s="80" t="s">
        <v>251</v>
      </c>
      <c r="C12" s="97">
        <v>7</v>
      </c>
      <c r="D12" s="50">
        <v>240</v>
      </c>
      <c r="E12" s="50">
        <f t="shared" si="0"/>
        <v>1680</v>
      </c>
      <c r="F12" s="3">
        <f t="shared" si="1"/>
        <v>2066.4</v>
      </c>
    </row>
    <row r="13" spans="1:6" ht="15" customHeight="1">
      <c r="A13" s="96" t="s">
        <v>13</v>
      </c>
      <c r="B13" s="80" t="s">
        <v>247</v>
      </c>
      <c r="C13" s="97">
        <v>8</v>
      </c>
      <c r="D13" s="50">
        <v>175</v>
      </c>
      <c r="E13" s="50">
        <f t="shared" si="0"/>
        <v>1400</v>
      </c>
      <c r="F13" s="3">
        <f t="shared" si="1"/>
        <v>1722</v>
      </c>
    </row>
    <row r="14" spans="1:6" ht="25.5">
      <c r="A14" s="96" t="s">
        <v>24</v>
      </c>
      <c r="B14" s="80" t="s">
        <v>248</v>
      </c>
      <c r="C14" s="97">
        <v>1</v>
      </c>
      <c r="D14" s="50">
        <v>350</v>
      </c>
      <c r="E14" s="50">
        <f t="shared" si="0"/>
        <v>350</v>
      </c>
      <c r="F14" s="3">
        <f t="shared" si="1"/>
        <v>430.5</v>
      </c>
    </row>
    <row r="15" spans="1:6" ht="25.5">
      <c r="A15" s="96" t="s">
        <v>25</v>
      </c>
      <c r="B15" s="80" t="s">
        <v>252</v>
      </c>
      <c r="C15" s="51">
        <v>1</v>
      </c>
      <c r="D15" s="50">
        <v>886</v>
      </c>
      <c r="E15" s="50">
        <f>C15*D15</f>
        <v>886</v>
      </c>
      <c r="F15" s="3">
        <f t="shared" si="1"/>
        <v>1089.78</v>
      </c>
    </row>
    <row r="16" spans="1:6" ht="15" customHeight="1">
      <c r="A16" s="99"/>
      <c r="B16" s="100"/>
      <c r="C16" s="101"/>
      <c r="D16" s="11" t="s">
        <v>151</v>
      </c>
      <c r="E16" s="11">
        <f>SUM(E4:E15)</f>
        <v>30329</v>
      </c>
      <c r="F16" s="15">
        <f>SUM(F4:F15)</f>
        <v>37304.67</v>
      </c>
    </row>
    <row r="19" ht="12.75">
      <c r="D19" s="9"/>
    </row>
    <row r="20" ht="12.75">
      <c r="D2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F1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140625" style="0" customWidth="1"/>
    <col min="2" max="2" width="24.140625" style="0" customWidth="1"/>
    <col min="3" max="3" width="11.00390625" style="0" customWidth="1"/>
    <col min="4" max="4" width="12.421875" style="0" customWidth="1"/>
    <col min="5" max="5" width="15.57421875" style="0" customWidth="1"/>
    <col min="6" max="6" width="15.28125" style="0" customWidth="1"/>
    <col min="7" max="7" width="13.28125" style="0" customWidth="1"/>
  </cols>
  <sheetData>
    <row r="3" spans="1:6" ht="12.75">
      <c r="A3" s="5" t="s">
        <v>3</v>
      </c>
      <c r="B3" s="98" t="s">
        <v>237</v>
      </c>
      <c r="C3" s="5" t="s">
        <v>199</v>
      </c>
      <c r="D3" s="5" t="s">
        <v>238</v>
      </c>
      <c r="E3" s="5" t="s">
        <v>1</v>
      </c>
      <c r="F3" s="79" t="s">
        <v>2</v>
      </c>
    </row>
    <row r="4" spans="1:6" ht="15" customHeight="1">
      <c r="A4" s="96" t="s">
        <v>4</v>
      </c>
      <c r="B4" s="102" t="s">
        <v>254</v>
      </c>
      <c r="C4" s="97">
        <v>1</v>
      </c>
      <c r="D4" s="50">
        <v>1466.98</v>
      </c>
      <c r="E4" s="50">
        <f aca="true" t="shared" si="0" ref="E4:E9">C4*D4</f>
        <v>1466.98</v>
      </c>
      <c r="F4" s="3">
        <f aca="true" t="shared" si="1" ref="F4:F9">E4*1.23</f>
        <v>1804.3854</v>
      </c>
    </row>
    <row r="5" spans="1:6" ht="12.75">
      <c r="A5" s="96" t="s">
        <v>5</v>
      </c>
      <c r="B5" s="103" t="s">
        <v>255</v>
      </c>
      <c r="C5" s="97">
        <v>4</v>
      </c>
      <c r="D5" s="50">
        <v>506.85</v>
      </c>
      <c r="E5" s="50">
        <f t="shared" si="0"/>
        <v>2027.4</v>
      </c>
      <c r="F5" s="3">
        <f t="shared" si="1"/>
        <v>2493.702</v>
      </c>
    </row>
    <row r="6" spans="1:6" ht="15" customHeight="1">
      <c r="A6" s="96" t="s">
        <v>6</v>
      </c>
      <c r="B6" s="103" t="s">
        <v>256</v>
      </c>
      <c r="C6" s="97">
        <v>1</v>
      </c>
      <c r="D6" s="50">
        <v>360</v>
      </c>
      <c r="E6" s="50">
        <f t="shared" si="0"/>
        <v>360</v>
      </c>
      <c r="F6" s="3">
        <f t="shared" si="1"/>
        <v>442.8</v>
      </c>
    </row>
    <row r="7" spans="1:6" ht="15" customHeight="1">
      <c r="A7" s="96" t="s">
        <v>7</v>
      </c>
      <c r="B7" s="104" t="s">
        <v>242</v>
      </c>
      <c r="C7" s="97">
        <v>1</v>
      </c>
      <c r="D7" s="50">
        <v>302</v>
      </c>
      <c r="E7" s="50">
        <f t="shared" si="0"/>
        <v>302</v>
      </c>
      <c r="F7" s="3">
        <f t="shared" si="1"/>
        <v>371.46</v>
      </c>
    </row>
    <row r="8" spans="1:6" ht="25.5">
      <c r="A8" s="96" t="s">
        <v>8</v>
      </c>
      <c r="B8" s="104" t="s">
        <v>244</v>
      </c>
      <c r="C8" s="97">
        <v>2</v>
      </c>
      <c r="D8" s="50">
        <v>607</v>
      </c>
      <c r="E8" s="50">
        <f t="shared" si="0"/>
        <v>1214</v>
      </c>
      <c r="F8" s="3">
        <f t="shared" si="1"/>
        <v>1493.22</v>
      </c>
    </row>
    <row r="9" spans="1:6" ht="12.75">
      <c r="A9" s="96" t="s">
        <v>9</v>
      </c>
      <c r="B9" s="104" t="s">
        <v>243</v>
      </c>
      <c r="C9" s="97">
        <v>1</v>
      </c>
      <c r="D9" s="50">
        <v>427</v>
      </c>
      <c r="E9" s="50">
        <f t="shared" si="0"/>
        <v>427</v>
      </c>
      <c r="F9" s="3">
        <f t="shared" si="1"/>
        <v>525.21</v>
      </c>
    </row>
    <row r="10" spans="1:6" ht="15" customHeight="1">
      <c r="A10" s="99"/>
      <c r="B10" s="100"/>
      <c r="C10" s="101"/>
      <c r="D10" s="11" t="s">
        <v>151</v>
      </c>
      <c r="E10" s="11">
        <f>SUM(E4:E9)</f>
        <v>5797.38</v>
      </c>
      <c r="F10" s="15">
        <f>SUM(F4:F9)</f>
        <v>7130.777400000001</v>
      </c>
    </row>
    <row r="11" ht="12.75">
      <c r="F11" s="9"/>
    </row>
    <row r="12" ht="12.75">
      <c r="F12" s="9"/>
    </row>
    <row r="13" ht="12.75">
      <c r="D13" s="9"/>
    </row>
    <row r="14" ht="12.75">
      <c r="D14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7.140625" style="0" customWidth="1"/>
    <col min="2" max="2" width="25.00390625" style="0" customWidth="1"/>
    <col min="3" max="3" width="14.00390625" style="0" customWidth="1"/>
    <col min="4" max="4" width="14.28125" style="0" customWidth="1"/>
    <col min="5" max="5" width="13.28125" style="0" customWidth="1"/>
    <col min="6" max="6" width="11.7109375" style="0" customWidth="1"/>
  </cols>
  <sheetData>
    <row r="2" spans="1:4" ht="12.75">
      <c r="A2" s="5" t="s">
        <v>3</v>
      </c>
      <c r="B2" s="5" t="s">
        <v>0</v>
      </c>
      <c r="C2" s="5" t="s">
        <v>1</v>
      </c>
      <c r="D2" s="5" t="s">
        <v>2</v>
      </c>
    </row>
    <row r="3" spans="1:4" ht="12.75">
      <c r="A3" s="4" t="s">
        <v>4</v>
      </c>
      <c r="B3" s="6" t="s">
        <v>43</v>
      </c>
      <c r="C3" s="8">
        <v>3500</v>
      </c>
      <c r="D3" s="8">
        <v>4200</v>
      </c>
    </row>
    <row r="4" spans="1:4" ht="12.75">
      <c r="A4" s="4" t="s">
        <v>5</v>
      </c>
      <c r="B4" s="2" t="s">
        <v>31</v>
      </c>
      <c r="C4" s="8"/>
      <c r="D4" s="8"/>
    </row>
    <row r="5" spans="1:4" ht="12.75">
      <c r="A5" s="4" t="s">
        <v>6</v>
      </c>
      <c r="B5" s="2" t="s">
        <v>32</v>
      </c>
      <c r="C5" s="8">
        <v>5000</v>
      </c>
      <c r="D5" s="8">
        <v>6173</v>
      </c>
    </row>
    <row r="6" spans="1:4" ht="12.75">
      <c r="A6" s="4" t="s">
        <v>7</v>
      </c>
      <c r="B6" s="2" t="s">
        <v>33</v>
      </c>
      <c r="C6" s="8">
        <v>10015</v>
      </c>
      <c r="D6" s="8">
        <v>11700</v>
      </c>
    </row>
    <row r="7" spans="1:4" ht="12.75">
      <c r="A7" s="4" t="s">
        <v>8</v>
      </c>
      <c r="B7" s="2" t="s">
        <v>34</v>
      </c>
      <c r="C7" s="8">
        <v>4065.04</v>
      </c>
      <c r="D7" s="8">
        <v>5000</v>
      </c>
    </row>
    <row r="8" spans="1:4" ht="12.75">
      <c r="A8" s="4" t="s">
        <v>9</v>
      </c>
      <c r="B8" s="2" t="s">
        <v>35</v>
      </c>
      <c r="C8" s="8">
        <v>11200</v>
      </c>
      <c r="D8" s="8">
        <v>12824</v>
      </c>
    </row>
    <row r="9" spans="1:4" ht="12.75">
      <c r="A9" s="4" t="s">
        <v>10</v>
      </c>
      <c r="B9" s="2" t="s">
        <v>36</v>
      </c>
      <c r="C9" s="8">
        <v>4800</v>
      </c>
      <c r="D9" s="8">
        <v>5496</v>
      </c>
    </row>
    <row r="10" spans="1:4" ht="12.75">
      <c r="A10" s="4"/>
      <c r="B10" s="2"/>
      <c r="C10" s="11">
        <f>SUM(C3:C9)</f>
        <v>38580.04</v>
      </c>
      <c r="D10" s="11">
        <f>SUM(D3:D9)</f>
        <v>45393</v>
      </c>
    </row>
    <row r="11" spans="1:4" ht="12.75">
      <c r="A11" s="4" t="s">
        <v>11</v>
      </c>
      <c r="B11" s="2" t="s">
        <v>37</v>
      </c>
      <c r="C11" s="8"/>
      <c r="D11" s="8"/>
    </row>
    <row r="12" spans="1:4" ht="12.75">
      <c r="A12" s="4" t="s">
        <v>12</v>
      </c>
      <c r="B12" s="2" t="s">
        <v>38</v>
      </c>
      <c r="C12" s="8"/>
      <c r="D12" s="8"/>
    </row>
    <row r="13" spans="1:4" ht="12.75">
      <c r="A13" s="4" t="s">
        <v>13</v>
      </c>
      <c r="B13" s="2" t="s">
        <v>39</v>
      </c>
      <c r="C13" s="8">
        <v>5285</v>
      </c>
      <c r="D13" s="8">
        <v>6500</v>
      </c>
    </row>
    <row r="14" spans="1:4" ht="12.75">
      <c r="A14" s="4" t="s">
        <v>24</v>
      </c>
      <c r="B14" s="2" t="s">
        <v>40</v>
      </c>
      <c r="C14" s="8"/>
      <c r="D14" s="8"/>
    </row>
    <row r="15" spans="1:5" ht="12.75">
      <c r="A15" s="4" t="s">
        <v>25</v>
      </c>
      <c r="B15" s="10" t="s">
        <v>41</v>
      </c>
      <c r="C15" s="8"/>
      <c r="D15" s="8"/>
      <c r="E15" t="s">
        <v>83</v>
      </c>
    </row>
    <row r="16" spans="1:4" ht="12.75">
      <c r="A16" s="4" t="s">
        <v>26</v>
      </c>
      <c r="B16" s="2" t="s">
        <v>108</v>
      </c>
      <c r="C16" s="8"/>
      <c r="D16" s="8"/>
    </row>
    <row r="17" spans="1:4" ht="12.75">
      <c r="A17" s="4" t="s">
        <v>27</v>
      </c>
      <c r="B17" s="2" t="s">
        <v>42</v>
      </c>
      <c r="C17" s="8"/>
      <c r="D17" s="8"/>
    </row>
    <row r="18" spans="1:4" ht="12.75">
      <c r="A18" s="4" t="s">
        <v>28</v>
      </c>
      <c r="B18" s="2" t="s">
        <v>44</v>
      </c>
      <c r="C18" s="8"/>
      <c r="D18" s="8"/>
    </row>
    <row r="19" spans="1:4" ht="12.75">
      <c r="A19" s="4" t="s">
        <v>29</v>
      </c>
      <c r="B19" s="2" t="s">
        <v>45</v>
      </c>
      <c r="C19" s="8"/>
      <c r="D19" s="8"/>
    </row>
    <row r="20" spans="1:4" ht="12.75">
      <c r="A20" s="4" t="s">
        <v>30</v>
      </c>
      <c r="B20" s="2" t="s">
        <v>46</v>
      </c>
      <c r="C20" s="8"/>
      <c r="D20" s="8"/>
    </row>
    <row r="21" spans="1:4" ht="12.75">
      <c r="A21" s="4" t="s">
        <v>73</v>
      </c>
      <c r="B21" s="2" t="s">
        <v>127</v>
      </c>
      <c r="C21" s="8">
        <v>4500</v>
      </c>
      <c r="D21" s="8">
        <v>5490</v>
      </c>
    </row>
    <row r="22" spans="1:4" ht="12.75">
      <c r="A22" s="4" t="s">
        <v>109</v>
      </c>
      <c r="B22" s="2" t="s">
        <v>129</v>
      </c>
      <c r="C22" s="8"/>
      <c r="D22" s="8"/>
    </row>
    <row r="23" spans="2:4" ht="12.75">
      <c r="B23" s="7"/>
      <c r="C23" s="11">
        <f>SUM(C11:C22)</f>
        <v>9785</v>
      </c>
      <c r="D23" s="11">
        <f>SUM(D11:D22)</f>
        <v>11990</v>
      </c>
    </row>
    <row r="24" spans="2:4" ht="12.75">
      <c r="B24" s="13"/>
      <c r="C24" s="14"/>
      <c r="D24" s="14"/>
    </row>
    <row r="25" spans="1:4" ht="12.75">
      <c r="A25" s="32" t="s">
        <v>85</v>
      </c>
      <c r="B25" s="12" t="s">
        <v>52</v>
      </c>
      <c r="C25" s="9">
        <f>AVERAGE(C3:C9)</f>
        <v>6430.006666666667</v>
      </c>
      <c r="D25" s="9">
        <f>AVERAGE(D3:D9)</f>
        <v>7565.5</v>
      </c>
    </row>
    <row r="26" spans="1:4" ht="12.75">
      <c r="A26" s="32" t="s">
        <v>86</v>
      </c>
      <c r="B26" s="12" t="s">
        <v>128</v>
      </c>
      <c r="C26" s="9">
        <f>AVERAGE(C11:C22)</f>
        <v>4892.5</v>
      </c>
      <c r="D26" s="9">
        <f>AVERAGE(D11:D22)</f>
        <v>5995</v>
      </c>
    </row>
    <row r="27" spans="2:4" ht="12.75">
      <c r="B27" s="12"/>
      <c r="C27" s="9"/>
      <c r="D27" s="9"/>
    </row>
    <row r="28" spans="2:4" ht="12.75">
      <c r="B28" s="12"/>
      <c r="C28" s="9"/>
      <c r="D28" s="9"/>
    </row>
    <row r="29" spans="2:4" ht="12.75">
      <c r="B29" s="12"/>
      <c r="C29" s="9"/>
      <c r="D2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7.8515625" style="0" customWidth="1"/>
    <col min="2" max="3" width="9.7109375" style="0" customWidth="1"/>
    <col min="4" max="4" width="12.421875" style="0" customWidth="1"/>
    <col min="5" max="6" width="9.7109375" style="0" customWidth="1"/>
    <col min="7" max="7" width="11.28125" style="0" customWidth="1"/>
    <col min="8" max="8" width="9.7109375" style="0" customWidth="1"/>
    <col min="9" max="9" width="10.7109375" style="0" customWidth="1"/>
    <col min="10" max="13" width="9.7109375" style="0" customWidth="1"/>
  </cols>
  <sheetData>
    <row r="1" spans="1:13" s="1" customFormat="1" ht="12.75">
      <c r="A1" s="186">
        <v>2011</v>
      </c>
      <c r="B1" s="186" t="s">
        <v>298</v>
      </c>
      <c r="C1" s="186"/>
      <c r="D1" s="186"/>
      <c r="E1" s="186"/>
      <c r="F1" s="186"/>
      <c r="G1" s="186"/>
      <c r="H1" s="186" t="s">
        <v>307</v>
      </c>
      <c r="I1" s="186"/>
      <c r="J1" s="186"/>
      <c r="K1" s="186"/>
      <c r="L1" s="186"/>
      <c r="M1" s="186"/>
    </row>
    <row r="2" spans="1:13" s="1" customFormat="1" ht="12.75">
      <c r="A2" s="186"/>
      <c r="B2" s="186" t="s">
        <v>299</v>
      </c>
      <c r="C2" s="186"/>
      <c r="D2" s="186"/>
      <c r="E2" s="186"/>
      <c r="F2" s="186"/>
      <c r="G2" s="4" t="s">
        <v>297</v>
      </c>
      <c r="H2" s="186" t="s">
        <v>299</v>
      </c>
      <c r="I2" s="186"/>
      <c r="J2" s="186"/>
      <c r="K2" s="186"/>
      <c r="L2" s="186"/>
      <c r="M2" s="4" t="s">
        <v>297</v>
      </c>
    </row>
    <row r="3" spans="1:13" s="1" customFormat="1" ht="12.75">
      <c r="A3" s="186"/>
      <c r="B3" s="4" t="s">
        <v>292</v>
      </c>
      <c r="C3" s="4" t="s">
        <v>293</v>
      </c>
      <c r="D3" s="49" t="s">
        <v>294</v>
      </c>
      <c r="E3" s="4" t="s">
        <v>295</v>
      </c>
      <c r="F3" s="4" t="s">
        <v>296</v>
      </c>
      <c r="G3" s="4" t="s">
        <v>292</v>
      </c>
      <c r="H3" s="4" t="s">
        <v>292</v>
      </c>
      <c r="I3" s="4" t="s">
        <v>293</v>
      </c>
      <c r="J3" s="49" t="s">
        <v>294</v>
      </c>
      <c r="K3" s="4" t="s">
        <v>295</v>
      </c>
      <c r="L3" s="4" t="s">
        <v>296</v>
      </c>
      <c r="M3" s="4" t="s">
        <v>292</v>
      </c>
    </row>
    <row r="4" spans="1:13" ht="12.75">
      <c r="A4" s="4" t="s">
        <v>300</v>
      </c>
      <c r="B4" s="50">
        <v>2211.25</v>
      </c>
      <c r="C4" s="50">
        <v>1259.2</v>
      </c>
      <c r="D4" s="50">
        <v>1282.7</v>
      </c>
      <c r="E4" s="50">
        <v>1109.4</v>
      </c>
      <c r="F4" s="50">
        <v>376.25</v>
      </c>
      <c r="G4" s="50">
        <v>8291.15</v>
      </c>
      <c r="H4" s="50">
        <v>1400.45</v>
      </c>
      <c r="I4" s="50">
        <v>372.3</v>
      </c>
      <c r="J4" s="50">
        <v>170.6</v>
      </c>
      <c r="K4" s="50">
        <v>140.1</v>
      </c>
      <c r="L4" s="50">
        <v>15.4</v>
      </c>
      <c r="M4" s="50">
        <v>4804.35</v>
      </c>
    </row>
    <row r="5" spans="1:13" ht="12.75">
      <c r="A5" s="4" t="s">
        <v>301</v>
      </c>
      <c r="B5" s="3">
        <v>2004.95</v>
      </c>
      <c r="C5" s="50">
        <v>814.6</v>
      </c>
      <c r="D5" s="50">
        <v>1056.3</v>
      </c>
      <c r="E5" s="50">
        <v>783.45</v>
      </c>
      <c r="F5" s="50">
        <v>344.1</v>
      </c>
      <c r="G5" s="50">
        <v>7930.35</v>
      </c>
      <c r="H5" s="50">
        <v>696.25</v>
      </c>
      <c r="I5" s="50">
        <v>324.1</v>
      </c>
      <c r="J5" s="50">
        <v>243.9</v>
      </c>
      <c r="K5" s="50">
        <v>165.5</v>
      </c>
      <c r="L5" s="50">
        <v>83.8</v>
      </c>
      <c r="M5" s="50">
        <v>4218.35</v>
      </c>
    </row>
    <row r="6" spans="1:13" ht="12.75">
      <c r="A6" s="4" t="s">
        <v>302</v>
      </c>
      <c r="B6" s="50">
        <v>2610.05</v>
      </c>
      <c r="C6" s="50">
        <v>812.5</v>
      </c>
      <c r="D6" s="50">
        <v>1073.6</v>
      </c>
      <c r="E6" s="50">
        <v>818.8</v>
      </c>
      <c r="F6" s="50">
        <v>368.45</v>
      </c>
      <c r="G6" s="50">
        <v>7209.4</v>
      </c>
      <c r="H6" s="50">
        <v>1224.85</v>
      </c>
      <c r="I6" s="50">
        <v>293.1</v>
      </c>
      <c r="J6" s="50">
        <v>229</v>
      </c>
      <c r="K6" s="50">
        <v>189.6</v>
      </c>
      <c r="L6" s="50">
        <v>198.4</v>
      </c>
      <c r="M6" s="50">
        <v>5439.25</v>
      </c>
    </row>
    <row r="7" spans="1:13" ht="12.75">
      <c r="A7" s="4" t="s">
        <v>303</v>
      </c>
      <c r="B7" s="50">
        <v>2809.05</v>
      </c>
      <c r="C7" s="50">
        <v>930.5</v>
      </c>
      <c r="D7" s="50">
        <v>1116.8</v>
      </c>
      <c r="E7" s="50">
        <v>887.6</v>
      </c>
      <c r="F7" s="50">
        <v>197.2</v>
      </c>
      <c r="G7" s="50">
        <v>10031.4</v>
      </c>
      <c r="H7" s="50">
        <v>705.45</v>
      </c>
      <c r="I7" s="50">
        <v>382.7</v>
      </c>
      <c r="J7" s="50">
        <v>410.7</v>
      </c>
      <c r="K7" s="50">
        <v>305.9</v>
      </c>
      <c r="L7" s="50">
        <v>185.2</v>
      </c>
      <c r="M7" s="50">
        <v>4996.55</v>
      </c>
    </row>
    <row r="8" spans="1:13" ht="12.75">
      <c r="A8" s="4" t="s">
        <v>304</v>
      </c>
      <c r="B8" s="50">
        <v>2328.7</v>
      </c>
      <c r="C8" s="50">
        <v>727.45</v>
      </c>
      <c r="D8" s="50">
        <v>815.75</v>
      </c>
      <c r="E8" s="50">
        <v>888.05</v>
      </c>
      <c r="F8" s="50">
        <v>295.9</v>
      </c>
      <c r="G8" s="50">
        <v>6043</v>
      </c>
      <c r="H8" s="50">
        <v>964.2</v>
      </c>
      <c r="I8" s="50">
        <v>383.8</v>
      </c>
      <c r="J8" s="50">
        <v>538.5</v>
      </c>
      <c r="K8" s="50">
        <v>218.1</v>
      </c>
      <c r="L8" s="50">
        <v>140.9</v>
      </c>
      <c r="M8" s="50">
        <v>5210.7</v>
      </c>
    </row>
    <row r="9" spans="1:13" ht="12.75">
      <c r="A9" s="4" t="s">
        <v>305</v>
      </c>
      <c r="B9" s="50">
        <v>2388.55</v>
      </c>
      <c r="C9" s="50">
        <v>1063.65</v>
      </c>
      <c r="D9" s="50">
        <v>767.7</v>
      </c>
      <c r="E9" s="50">
        <v>905.2</v>
      </c>
      <c r="F9" s="50">
        <v>311.3</v>
      </c>
      <c r="G9" s="50">
        <v>3027.95</v>
      </c>
      <c r="H9" s="50">
        <v>845.9</v>
      </c>
      <c r="I9" s="50">
        <v>322</v>
      </c>
      <c r="J9" s="50">
        <v>428.2</v>
      </c>
      <c r="K9" s="50">
        <v>287.1</v>
      </c>
      <c r="L9" s="50">
        <v>78.5</v>
      </c>
      <c r="M9" s="50">
        <v>3378.1</v>
      </c>
    </row>
    <row r="10" spans="1:13" ht="12.75">
      <c r="A10" s="4" t="s">
        <v>306</v>
      </c>
      <c r="B10" s="50">
        <v>2301</v>
      </c>
      <c r="C10" s="50">
        <v>813.5</v>
      </c>
      <c r="D10" s="50">
        <v>914.85</v>
      </c>
      <c r="E10" s="50">
        <v>1036.05</v>
      </c>
      <c r="F10" s="50">
        <v>522.7</v>
      </c>
      <c r="G10" s="50">
        <v>2475.8</v>
      </c>
      <c r="H10" s="50">
        <v>641.6</v>
      </c>
      <c r="I10" s="50">
        <v>383.7</v>
      </c>
      <c r="J10" s="50">
        <v>435</v>
      </c>
      <c r="K10" s="50">
        <v>336.1</v>
      </c>
      <c r="L10" s="50">
        <v>139.2</v>
      </c>
      <c r="M10" s="50">
        <v>3991.5</v>
      </c>
    </row>
    <row r="11" spans="1:13" ht="12.75">
      <c r="A11" s="115" t="s">
        <v>151</v>
      </c>
      <c r="B11" s="3">
        <f>SUM(B4:B10)</f>
        <v>16653.55</v>
      </c>
      <c r="C11" s="3">
        <f aca="true" t="shared" si="0" ref="C11:M11">SUM(C4:C10)</f>
        <v>6421.4</v>
      </c>
      <c r="D11" s="3">
        <f t="shared" si="0"/>
        <v>7027.7</v>
      </c>
      <c r="E11" s="3">
        <f t="shared" si="0"/>
        <v>6428.55</v>
      </c>
      <c r="F11" s="3">
        <f t="shared" si="0"/>
        <v>2415.9</v>
      </c>
      <c r="G11" s="15">
        <f t="shared" si="0"/>
        <v>45009.05</v>
      </c>
      <c r="H11" s="3">
        <f t="shared" si="0"/>
        <v>6478.7</v>
      </c>
      <c r="I11" s="3">
        <f t="shared" si="0"/>
        <v>2461.7</v>
      </c>
      <c r="J11" s="3">
        <f t="shared" si="0"/>
        <v>2455.9</v>
      </c>
      <c r="K11" s="3">
        <f t="shared" si="0"/>
        <v>1642.4</v>
      </c>
      <c r="L11" s="3">
        <f t="shared" si="0"/>
        <v>841.4000000000001</v>
      </c>
      <c r="M11" s="15">
        <f t="shared" si="0"/>
        <v>32038.8</v>
      </c>
    </row>
    <row r="12" spans="2:13" ht="12.75">
      <c r="B12" s="185">
        <f>SUM(B11:F11)</f>
        <v>38947.1</v>
      </c>
      <c r="C12" s="185"/>
      <c r="D12" s="185"/>
      <c r="E12" s="185"/>
      <c r="F12" s="185"/>
      <c r="G12" s="17"/>
      <c r="H12" s="185">
        <f>SUM(H11:L11)</f>
        <v>13880.099999999999</v>
      </c>
      <c r="I12" s="185"/>
      <c r="J12" s="185"/>
      <c r="K12" s="185"/>
      <c r="L12" s="185"/>
      <c r="M12" s="17"/>
    </row>
    <row r="13" spans="2:13" ht="12.75">
      <c r="B13" s="17"/>
      <c r="C13" s="17"/>
      <c r="D13" s="17"/>
      <c r="E13" s="17"/>
      <c r="F13" s="17"/>
      <c r="G13" s="18">
        <f>G11+B12</f>
        <v>83956.15</v>
      </c>
      <c r="H13" s="17"/>
      <c r="I13" s="17"/>
      <c r="J13" s="17"/>
      <c r="K13" s="17"/>
      <c r="L13" s="17"/>
      <c r="M13" s="18">
        <f>M11+H12</f>
        <v>45918.899999999994</v>
      </c>
    </row>
    <row r="14" spans="2:13" ht="12.75">
      <c r="B14" s="17"/>
      <c r="C14" s="17"/>
      <c r="D14" s="17"/>
      <c r="E14" s="17"/>
      <c r="F14" s="17" t="s">
        <v>312</v>
      </c>
      <c r="G14" s="18">
        <f>G13/7*12</f>
        <v>143924.82857142854</v>
      </c>
      <c r="H14" s="17"/>
      <c r="I14" s="17">
        <f>G14+M14</f>
        <v>222642.94285714283</v>
      </c>
      <c r="J14" s="17"/>
      <c r="K14" s="17"/>
      <c r="L14" s="17" t="s">
        <v>312</v>
      </c>
      <c r="M14" s="18">
        <f>M13/7*12</f>
        <v>78718.11428571428</v>
      </c>
    </row>
    <row r="15" spans="2:13" ht="12.75">
      <c r="B15" s="17"/>
      <c r="C15" s="17"/>
      <c r="D15" s="17"/>
      <c r="E15" s="17" t="s">
        <v>308</v>
      </c>
      <c r="F15" s="116">
        <f>B12/G13*100</f>
        <v>46.3898118243869</v>
      </c>
      <c r="G15" s="116">
        <f>G11/G13*100</f>
        <v>53.610188175613104</v>
      </c>
      <c r="H15" s="17"/>
      <c r="I15" s="116">
        <f>G14/I14*100</f>
        <v>64.64378647014958</v>
      </c>
      <c r="J15" s="94" t="s">
        <v>308</v>
      </c>
      <c r="K15" s="17" t="s">
        <v>308</v>
      </c>
      <c r="L15" s="116">
        <f>H12/M13*100</f>
        <v>30.22742269523007</v>
      </c>
      <c r="M15" s="116">
        <f>M11/M13*100</f>
        <v>69.77257730476994</v>
      </c>
    </row>
    <row r="16" spans="2:13" ht="12.75">
      <c r="B16" s="17"/>
      <c r="C16" s="18" t="s">
        <v>313</v>
      </c>
      <c r="D16" s="17"/>
      <c r="E16" s="17"/>
      <c r="F16" s="17"/>
      <c r="G16" s="17"/>
      <c r="H16" s="17"/>
      <c r="I16" s="116">
        <f>M14/I14*100</f>
        <v>35.35621352985043</v>
      </c>
      <c r="J16" s="94" t="s">
        <v>308</v>
      </c>
      <c r="K16" s="17"/>
      <c r="L16" s="17"/>
      <c r="M16" s="17"/>
    </row>
    <row r="17" spans="2:13" ht="12.75">
      <c r="B17" s="17"/>
      <c r="C17" s="17" t="s">
        <v>299</v>
      </c>
      <c r="D17" s="17">
        <v>99000</v>
      </c>
      <c r="E17" s="17"/>
      <c r="F17" s="17"/>
      <c r="G17" s="17"/>
      <c r="H17" s="17"/>
      <c r="I17" s="17"/>
      <c r="J17" s="17"/>
      <c r="K17" s="17"/>
      <c r="L17" s="17"/>
      <c r="M17" s="17"/>
    </row>
    <row r="18" spans="2:13" ht="12.75">
      <c r="B18" s="17"/>
      <c r="C18" s="17" t="s">
        <v>297</v>
      </c>
      <c r="D18" s="17">
        <v>145000</v>
      </c>
      <c r="E18" s="17"/>
      <c r="F18" s="17"/>
      <c r="G18" s="17"/>
      <c r="H18" s="17"/>
      <c r="I18" s="17"/>
      <c r="J18" s="17"/>
      <c r="K18" s="17"/>
      <c r="L18" s="17"/>
      <c r="M18" s="17"/>
    </row>
    <row r="19" spans="2:13" ht="12.75">
      <c r="B19" s="17"/>
      <c r="C19" s="17"/>
      <c r="D19" s="18">
        <v>244000</v>
      </c>
      <c r="E19" s="17"/>
      <c r="F19" s="17"/>
      <c r="G19" s="17"/>
      <c r="H19" s="17"/>
      <c r="J19" s="17"/>
      <c r="K19" s="17"/>
      <c r="L19" s="17"/>
      <c r="M19" s="17"/>
    </row>
    <row r="20" spans="2:13" ht="12.75">
      <c r="B20" s="17"/>
      <c r="C20" s="17"/>
      <c r="D20" s="17"/>
      <c r="E20" s="17"/>
      <c r="F20" s="17"/>
      <c r="G20" s="17"/>
      <c r="H20" s="17"/>
      <c r="J20" s="17"/>
      <c r="K20" s="17"/>
      <c r="L20" s="17"/>
      <c r="M20" s="17"/>
    </row>
    <row r="21" spans="2:13" ht="12.75">
      <c r="B21" s="17"/>
      <c r="C21" s="17">
        <v>0.65</v>
      </c>
      <c r="D21" s="117">
        <f>D19*0.65</f>
        <v>158600</v>
      </c>
      <c r="E21" s="17" t="s">
        <v>309</v>
      </c>
      <c r="F21" s="17"/>
      <c r="G21" s="17"/>
      <c r="H21" s="17"/>
      <c r="I21" s="17"/>
      <c r="J21" s="17"/>
      <c r="K21" s="17"/>
      <c r="L21" s="17"/>
      <c r="M21" s="17"/>
    </row>
    <row r="22" spans="2:13" ht="12.75">
      <c r="B22" s="17"/>
      <c r="C22" s="17">
        <v>0.35</v>
      </c>
      <c r="D22" s="117">
        <f>D19*0.35</f>
        <v>85400</v>
      </c>
      <c r="E22" s="17" t="s">
        <v>310</v>
      </c>
      <c r="F22" s="17"/>
      <c r="G22" s="17"/>
      <c r="H22" s="17"/>
      <c r="I22" s="17"/>
      <c r="J22" s="17"/>
      <c r="K22" s="17"/>
      <c r="L22" s="17"/>
      <c r="M22" s="17"/>
    </row>
    <row r="23" spans="2:13" ht="12.7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2:13" ht="12.75">
      <c r="B24" s="17"/>
      <c r="C24" s="17"/>
      <c r="D24" s="17" t="s">
        <v>309</v>
      </c>
      <c r="E24" s="17"/>
      <c r="F24" s="17"/>
      <c r="G24" s="17" t="s">
        <v>311</v>
      </c>
      <c r="H24" s="17"/>
      <c r="I24" s="17"/>
      <c r="J24" s="17"/>
      <c r="K24" s="17"/>
      <c r="L24" s="17"/>
      <c r="M24" s="17"/>
    </row>
    <row r="25" spans="2:13" ht="12.75">
      <c r="B25" s="17"/>
      <c r="C25" s="18" t="s">
        <v>299</v>
      </c>
      <c r="D25" s="18">
        <f>D21*0.46</f>
        <v>72956</v>
      </c>
      <c r="E25" s="118">
        <v>46</v>
      </c>
      <c r="F25" s="119" t="s">
        <v>308</v>
      </c>
      <c r="G25" s="18">
        <f>D22*0.3</f>
        <v>25620</v>
      </c>
      <c r="H25" s="116">
        <v>30</v>
      </c>
      <c r="I25" s="94" t="s">
        <v>308</v>
      </c>
      <c r="J25" s="17"/>
      <c r="K25" s="17"/>
      <c r="L25" s="17"/>
      <c r="M25" s="17"/>
    </row>
    <row r="26" spans="2:13" ht="12.75">
      <c r="B26" s="17"/>
      <c r="C26" s="18" t="s">
        <v>297</v>
      </c>
      <c r="D26" s="18">
        <f>D21*0.54</f>
        <v>85644</v>
      </c>
      <c r="E26" s="118">
        <v>54</v>
      </c>
      <c r="F26" s="119" t="s">
        <v>308</v>
      </c>
      <c r="G26" s="18">
        <f>D22*0.7</f>
        <v>59779.99999999999</v>
      </c>
      <c r="H26" s="116">
        <v>70</v>
      </c>
      <c r="I26" s="94" t="s">
        <v>308</v>
      </c>
      <c r="J26" s="17"/>
      <c r="K26" s="17"/>
      <c r="L26" s="17"/>
      <c r="M26" s="17"/>
    </row>
    <row r="27" spans="2:13" ht="12.75">
      <c r="B27" s="17"/>
      <c r="C27" s="17"/>
      <c r="D27" s="17">
        <f>D25+D26</f>
        <v>158600</v>
      </c>
      <c r="E27" s="17"/>
      <c r="F27" s="17"/>
      <c r="G27" s="17">
        <f>G25+G26</f>
        <v>85400</v>
      </c>
      <c r="H27" s="17"/>
      <c r="I27" s="17"/>
      <c r="J27" s="17"/>
      <c r="K27" s="17"/>
      <c r="L27" s="17"/>
      <c r="M27" s="17"/>
    </row>
    <row r="28" spans="2:13" ht="12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2:13" ht="12.7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2:13" ht="12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2:13" ht="12.7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2:13" ht="12.7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2:13" ht="12.7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2:13" ht="12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2:13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2:13" ht="12.7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2:13" ht="12.7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2:13" ht="12.7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</sheetData>
  <sheetProtection/>
  <mergeCells count="7">
    <mergeCell ref="B12:F12"/>
    <mergeCell ref="H12:L12"/>
    <mergeCell ref="A1:A3"/>
    <mergeCell ref="B1:G1"/>
    <mergeCell ref="B2:F2"/>
    <mergeCell ref="H1:M1"/>
    <mergeCell ref="H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F12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140625" style="0" customWidth="1"/>
    <col min="2" max="2" width="24.140625" style="0" customWidth="1"/>
    <col min="3" max="3" width="11.00390625" style="0" customWidth="1"/>
    <col min="4" max="4" width="12.421875" style="0" customWidth="1"/>
    <col min="5" max="5" width="15.57421875" style="0" customWidth="1"/>
    <col min="6" max="6" width="15.28125" style="0" customWidth="1"/>
    <col min="7" max="7" width="13.28125" style="0" customWidth="1"/>
  </cols>
  <sheetData>
    <row r="3" spans="1:6" ht="12.75">
      <c r="A3" s="5" t="s">
        <v>3</v>
      </c>
      <c r="B3" s="98" t="s">
        <v>237</v>
      </c>
      <c r="C3" s="5" t="s">
        <v>199</v>
      </c>
      <c r="D3" s="5" t="s">
        <v>238</v>
      </c>
      <c r="E3" s="5" t="s">
        <v>1</v>
      </c>
      <c r="F3" s="79" t="s">
        <v>2</v>
      </c>
    </row>
    <row r="4" spans="1:6" ht="15" customHeight="1">
      <c r="A4" s="96" t="s">
        <v>4</v>
      </c>
      <c r="B4" s="102" t="s">
        <v>314</v>
      </c>
      <c r="C4" s="97">
        <v>1000</v>
      </c>
      <c r="D4" s="50">
        <v>1.46</v>
      </c>
      <c r="E4" s="50">
        <f>C4*D4</f>
        <v>1460</v>
      </c>
      <c r="F4" s="3">
        <f>E4*1.23</f>
        <v>1795.8</v>
      </c>
    </row>
    <row r="5" spans="1:6" ht="12.75">
      <c r="A5" s="96" t="s">
        <v>5</v>
      </c>
      <c r="B5" s="103" t="s">
        <v>314</v>
      </c>
      <c r="C5" s="97">
        <v>1000</v>
      </c>
      <c r="D5" s="50">
        <v>0.67</v>
      </c>
      <c r="E5" s="50">
        <f>C5*D5</f>
        <v>670</v>
      </c>
      <c r="F5" s="3">
        <f>E5*1.23</f>
        <v>824.1</v>
      </c>
    </row>
    <row r="6" spans="1:6" ht="15" customHeight="1">
      <c r="A6" s="96" t="s">
        <v>6</v>
      </c>
      <c r="B6" s="103" t="s">
        <v>315</v>
      </c>
      <c r="C6" s="97">
        <v>50</v>
      </c>
      <c r="D6" s="50">
        <v>47.59</v>
      </c>
      <c r="E6" s="50">
        <f>C6*D6</f>
        <v>2379.5</v>
      </c>
      <c r="F6" s="3">
        <f>E6*1.23</f>
        <v>2926.785</v>
      </c>
    </row>
    <row r="7" spans="1:6" ht="15" customHeight="1">
      <c r="A7" s="96" t="s">
        <v>7</v>
      </c>
      <c r="B7" s="104" t="s">
        <v>316</v>
      </c>
      <c r="C7" s="97">
        <v>50</v>
      </c>
      <c r="D7" s="50">
        <v>47.59</v>
      </c>
      <c r="E7" s="50">
        <f>C7*D7</f>
        <v>2379.5</v>
      </c>
      <c r="F7" s="3">
        <f>E7*1.23</f>
        <v>2926.785</v>
      </c>
    </row>
    <row r="8" spans="1:6" ht="15" customHeight="1">
      <c r="A8" s="99"/>
      <c r="B8" s="100"/>
      <c r="C8" s="101"/>
      <c r="D8" s="11" t="s">
        <v>151</v>
      </c>
      <c r="E8" s="11">
        <f>SUM(E4:E7)</f>
        <v>6889</v>
      </c>
      <c r="F8" s="15">
        <f>SUM(F4:F7)</f>
        <v>8473.47</v>
      </c>
    </row>
    <row r="9" spans="5:6" ht="12.75">
      <c r="E9" s="9"/>
      <c r="F9" s="9"/>
    </row>
    <row r="10" spans="5:6" ht="12.75">
      <c r="E10" s="9"/>
      <c r="F10" s="9"/>
    </row>
    <row r="11" ht="12.75">
      <c r="D11" s="9"/>
    </row>
    <row r="12" ht="12.75">
      <c r="D12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11.00390625" style="0" customWidth="1"/>
    <col min="2" max="2" width="14.7109375" style="0" customWidth="1"/>
    <col min="3" max="3" width="14.140625" style="0" customWidth="1"/>
    <col min="4" max="4" width="12.421875" style="0" customWidth="1"/>
    <col min="5" max="5" width="11.00390625" style="0" customWidth="1"/>
    <col min="6" max="6" width="12.140625" style="0" customWidth="1"/>
    <col min="7" max="7" width="12.57421875" style="0" customWidth="1"/>
  </cols>
  <sheetData>
    <row r="2" spans="1:2" ht="12.75">
      <c r="A2" s="124" t="s">
        <v>327</v>
      </c>
      <c r="B2" s="19" t="s">
        <v>328</v>
      </c>
    </row>
    <row r="3" spans="2:7" s="1" customFormat="1" ht="12.75">
      <c r="B3" s="126" t="s">
        <v>332</v>
      </c>
      <c r="C3" s="4" t="s">
        <v>329</v>
      </c>
      <c r="D3" s="49" t="s">
        <v>330</v>
      </c>
      <c r="E3" s="49" t="s">
        <v>331</v>
      </c>
      <c r="F3" s="4" t="s">
        <v>49</v>
      </c>
      <c r="G3" s="4"/>
    </row>
    <row r="4" spans="2:7" ht="12.75">
      <c r="B4" s="3">
        <v>113255</v>
      </c>
      <c r="C4" s="3">
        <f>B4/1.23</f>
        <v>92077.23577235773</v>
      </c>
      <c r="D4" s="3">
        <f>C4*0.23</f>
        <v>21177.764227642278</v>
      </c>
      <c r="E4" s="127">
        <v>0.23</v>
      </c>
      <c r="F4" s="3">
        <f>C4/4.0196</f>
        <v>22907.06432788281</v>
      </c>
      <c r="G4" s="3">
        <f>C4+D4</f>
        <v>113255</v>
      </c>
    </row>
    <row r="5" spans="1:6" ht="12.75">
      <c r="A5" s="124" t="s">
        <v>333</v>
      </c>
      <c r="B5" s="43" t="s">
        <v>334</v>
      </c>
      <c r="C5" s="9"/>
      <c r="D5" s="9"/>
      <c r="E5" s="9"/>
      <c r="F5" s="9"/>
    </row>
    <row r="6" spans="2:7" ht="12.75">
      <c r="B6" s="126" t="s">
        <v>332</v>
      </c>
      <c r="C6" s="4" t="s">
        <v>329</v>
      </c>
      <c r="D6" s="49" t="s">
        <v>330</v>
      </c>
      <c r="E6" s="49" t="s">
        <v>331</v>
      </c>
      <c r="F6" s="4" t="s">
        <v>49</v>
      </c>
      <c r="G6" s="2"/>
    </row>
    <row r="7" spans="2:7" ht="12.75">
      <c r="B7" s="3">
        <v>400</v>
      </c>
      <c r="C7" s="3">
        <f>B7/1.23</f>
        <v>325.2032520325203</v>
      </c>
      <c r="D7" s="3">
        <f>C7*0.23</f>
        <v>74.79674796747967</v>
      </c>
      <c r="E7" s="127">
        <v>0.23</v>
      </c>
      <c r="F7" s="3">
        <f>C7/4.0196</f>
        <v>80.904381538591</v>
      </c>
      <c r="G7" s="3">
        <f>C7+D7</f>
        <v>400</v>
      </c>
    </row>
    <row r="8" spans="2:7" ht="12.75">
      <c r="B8" s="3">
        <v>3040</v>
      </c>
      <c r="C8" s="3">
        <f>B8/1.08</f>
        <v>2814.814814814815</v>
      </c>
      <c r="D8" s="3">
        <f>C8*0.08</f>
        <v>225.1851851851852</v>
      </c>
      <c r="E8" s="127">
        <v>0.08</v>
      </c>
      <c r="F8" s="3">
        <f>C8/4.0196</f>
        <v>700.2723690951376</v>
      </c>
      <c r="G8" s="3">
        <f>C8+D8</f>
        <v>3040</v>
      </c>
    </row>
    <row r="9" spans="1:7" ht="12.75">
      <c r="A9" s="39" t="s">
        <v>335</v>
      </c>
      <c r="B9" s="3">
        <f>B7+B8</f>
        <v>3440</v>
      </c>
      <c r="C9" s="3">
        <f>C7+C8</f>
        <v>3140.018066847335</v>
      </c>
      <c r="D9" s="3">
        <f>D7+D8</f>
        <v>299.98193315266485</v>
      </c>
      <c r="E9" s="125" t="s">
        <v>337</v>
      </c>
      <c r="F9" s="3">
        <f>F7+F8</f>
        <v>781.1767506337286</v>
      </c>
      <c r="G9" s="3">
        <f>C9+D9</f>
        <v>3440</v>
      </c>
    </row>
    <row r="10" spans="1:7" ht="12.75">
      <c r="A10" s="19" t="s">
        <v>336</v>
      </c>
      <c r="B10" s="15">
        <f>B4+B9</f>
        <v>116695</v>
      </c>
      <c r="C10" s="15">
        <f>C4+C9</f>
        <v>95217.25383920506</v>
      </c>
      <c r="D10" s="15">
        <f>D4+D9</f>
        <v>21477.74616079494</v>
      </c>
      <c r="E10" s="128" t="s">
        <v>337</v>
      </c>
      <c r="F10" s="15">
        <f>F4+F9</f>
        <v>23688.241078516538</v>
      </c>
      <c r="G10" s="15">
        <f>C10+D10</f>
        <v>116695</v>
      </c>
    </row>
    <row r="11" spans="2:6" ht="12.75">
      <c r="B11" s="9"/>
      <c r="C11" s="9"/>
      <c r="D11" s="9"/>
      <c r="E11" s="9"/>
      <c r="F11" s="9"/>
    </row>
    <row r="12" spans="2:6" ht="12.75">
      <c r="B12" s="9"/>
      <c r="C12" s="9"/>
      <c r="D12" s="9"/>
      <c r="E12" s="9"/>
      <c r="F12" s="9"/>
    </row>
    <row r="13" spans="2:6" ht="12.75">
      <c r="B13" s="9"/>
      <c r="C13" s="9"/>
      <c r="D13" s="9"/>
      <c r="E13" s="9"/>
      <c r="F13" s="9"/>
    </row>
    <row r="14" spans="2:6" ht="12.75">
      <c r="B14" s="9"/>
      <c r="C14" s="9"/>
      <c r="D14" s="9"/>
      <c r="E14" s="9"/>
      <c r="F14" s="9"/>
    </row>
    <row r="15" spans="2:6" ht="12.75">
      <c r="B15" s="9"/>
      <c r="C15" s="9"/>
      <c r="D15" s="9"/>
      <c r="E15" s="9"/>
      <c r="F15" s="9"/>
    </row>
    <row r="17" spans="2:6" ht="12.75">
      <c r="B17" s="9">
        <v>66</v>
      </c>
      <c r="C17" s="9">
        <v>61</v>
      </c>
      <c r="D17" s="9">
        <f>C17/B17*40</f>
        <v>36.96969696969697</v>
      </c>
      <c r="F17" s="9"/>
    </row>
    <row r="18" ht="12.75">
      <c r="C18" s="9"/>
    </row>
    <row r="24" ht="12.75">
      <c r="E24" s="129"/>
    </row>
    <row r="25" ht="12.75">
      <c r="E25" s="129"/>
    </row>
    <row r="26" ht="12.75">
      <c r="E26" s="129"/>
    </row>
    <row r="27" ht="12.75">
      <c r="E27" s="129"/>
    </row>
    <row r="28" ht="12.75">
      <c r="E28" s="129"/>
    </row>
    <row r="29" ht="12.75">
      <c r="E29" s="129"/>
    </row>
    <row r="30" ht="12.75">
      <c r="E30" s="129"/>
    </row>
    <row r="31" ht="12.75">
      <c r="E31" s="129"/>
    </row>
    <row r="32" ht="12.75">
      <c r="E32" s="129"/>
    </row>
    <row r="33" ht="12.75">
      <c r="E33" s="129"/>
    </row>
    <row r="34" ht="12.75">
      <c r="E34" s="129"/>
    </row>
    <row r="35" ht="12.75">
      <c r="E35" s="129"/>
    </row>
    <row r="36" ht="12.75">
      <c r="E36" s="129"/>
    </row>
    <row r="37" ht="12.75">
      <c r="E37" s="129"/>
    </row>
    <row r="38" ht="12.75">
      <c r="E38" s="129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G1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4.8515625" style="0" customWidth="1"/>
    <col min="2" max="2" width="17.00390625" style="0" customWidth="1"/>
    <col min="3" max="3" width="18.140625" style="0" customWidth="1"/>
    <col min="4" max="4" width="20.421875" style="0" customWidth="1"/>
    <col min="5" max="5" width="20.140625" style="0" customWidth="1"/>
    <col min="6" max="6" width="14.421875" style="0" customWidth="1"/>
    <col min="7" max="7" width="19.8515625" style="0" customWidth="1"/>
  </cols>
  <sheetData>
    <row r="3" spans="1:7" ht="12.75">
      <c r="A3" s="98" t="s">
        <v>317</v>
      </c>
      <c r="B3" s="98" t="s">
        <v>318</v>
      </c>
      <c r="C3" s="98" t="s">
        <v>319</v>
      </c>
      <c r="D3" s="98" t="s">
        <v>320</v>
      </c>
      <c r="E3" s="122" t="s">
        <v>321</v>
      </c>
      <c r="F3" s="123" t="s">
        <v>322</v>
      </c>
      <c r="G3" s="123" t="s">
        <v>323</v>
      </c>
    </row>
    <row r="4" spans="1:7" ht="15" customHeight="1">
      <c r="A4" s="102" t="s">
        <v>324</v>
      </c>
      <c r="B4" s="50">
        <v>71.3</v>
      </c>
      <c r="C4" s="50">
        <f>B4*0.08</f>
        <v>5.704</v>
      </c>
      <c r="D4" s="50">
        <f>B4+C4</f>
        <v>77.00399999999999</v>
      </c>
      <c r="E4" s="3">
        <f>B4*40</f>
        <v>2852</v>
      </c>
      <c r="F4" s="3">
        <f>E4*0.08</f>
        <v>228.16</v>
      </c>
      <c r="G4" s="3">
        <f>E4+F4</f>
        <v>3080.16</v>
      </c>
    </row>
    <row r="5" spans="1:7" ht="12.75">
      <c r="A5" s="103" t="s">
        <v>325</v>
      </c>
      <c r="B5" s="50">
        <v>7.3</v>
      </c>
      <c r="C5" s="50">
        <f>B5*0.23</f>
        <v>1.679</v>
      </c>
      <c r="D5" s="50">
        <f>B5+C5</f>
        <v>8.979</v>
      </c>
      <c r="E5" s="3">
        <f>B5*40</f>
        <v>292</v>
      </c>
      <c r="F5" s="3">
        <f>E5*0.23</f>
        <v>67.16</v>
      </c>
      <c r="G5" s="3">
        <f>E5+F5</f>
        <v>359.15999999999997</v>
      </c>
    </row>
    <row r="6" spans="1:7" ht="15" customHeight="1">
      <c r="A6" s="121" t="s">
        <v>326</v>
      </c>
      <c r="B6" s="11">
        <f aca="true" t="shared" si="0" ref="B6:G6">B4+B5</f>
        <v>78.6</v>
      </c>
      <c r="C6" s="11">
        <f t="shared" si="0"/>
        <v>7.383</v>
      </c>
      <c r="D6" s="11">
        <f t="shared" si="0"/>
        <v>85.98299999999999</v>
      </c>
      <c r="E6" s="11">
        <f t="shared" si="0"/>
        <v>3144</v>
      </c>
      <c r="F6" s="11">
        <f t="shared" si="0"/>
        <v>295.32</v>
      </c>
      <c r="G6" s="11">
        <f t="shared" si="0"/>
        <v>3439.3199999999997</v>
      </c>
    </row>
    <row r="7" spans="4:5" ht="12.75">
      <c r="D7" s="9"/>
      <c r="E7" s="9"/>
    </row>
    <row r="8" spans="4:5" ht="12.75">
      <c r="D8" s="9"/>
      <c r="E8" s="9"/>
    </row>
    <row r="9" ht="12.75">
      <c r="C9" s="9"/>
    </row>
    <row r="10" ht="12.75">
      <c r="C10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H34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6.140625" style="0" customWidth="1"/>
    <col min="2" max="2" width="24.140625" style="0" customWidth="1"/>
    <col min="3" max="3" width="11.00390625" style="0" customWidth="1"/>
    <col min="4" max="4" width="12.421875" style="0" customWidth="1"/>
    <col min="5" max="5" width="15.57421875" style="0" customWidth="1"/>
    <col min="6" max="6" width="15.28125" style="0" customWidth="1"/>
    <col min="7" max="7" width="13.28125" style="0" customWidth="1"/>
    <col min="8" max="8" width="14.28125" style="0" customWidth="1"/>
  </cols>
  <sheetData>
    <row r="3" spans="1:6" ht="12.75">
      <c r="A3" s="5"/>
      <c r="B3" s="98"/>
      <c r="C3" s="5"/>
      <c r="D3" s="5"/>
      <c r="E3" s="5"/>
      <c r="F3" s="79"/>
    </row>
    <row r="4" spans="1:8" ht="15" customHeight="1">
      <c r="A4" s="96"/>
      <c r="B4" s="102"/>
      <c r="C4" s="130">
        <v>836.85</v>
      </c>
      <c r="D4" s="50">
        <v>49.67</v>
      </c>
      <c r="E4" s="50">
        <f aca="true" t="shared" si="0" ref="E4:E9">C4*D4</f>
        <v>41566.3395</v>
      </c>
      <c r="F4" s="3">
        <v>15528.82</v>
      </c>
      <c r="G4" s="3">
        <f>E4+F4+E5</f>
        <v>66306.5595</v>
      </c>
      <c r="H4" s="2"/>
    </row>
    <row r="5" spans="1:8" ht="12.75">
      <c r="A5" s="96"/>
      <c r="B5" s="103"/>
      <c r="C5" s="130">
        <v>530</v>
      </c>
      <c r="D5" s="50">
        <v>17.38</v>
      </c>
      <c r="E5" s="50">
        <f t="shared" si="0"/>
        <v>9211.4</v>
      </c>
      <c r="F5" s="3"/>
      <c r="G5" s="2"/>
      <c r="H5" s="3">
        <f>E4+E5</f>
        <v>50777.7395</v>
      </c>
    </row>
    <row r="6" spans="1:8" ht="12.75">
      <c r="A6" s="96"/>
      <c r="B6" s="103"/>
      <c r="C6" s="130">
        <v>271.95</v>
      </c>
      <c r="D6" s="50">
        <v>30.22</v>
      </c>
      <c r="E6" s="50">
        <f t="shared" si="0"/>
        <v>8218.329</v>
      </c>
      <c r="F6" s="3">
        <v>3100.97</v>
      </c>
      <c r="G6" s="3">
        <f>E6+F6+E7</f>
        <v>13570.882999999998</v>
      </c>
      <c r="H6" s="2"/>
    </row>
    <row r="7" spans="1:8" ht="15" customHeight="1">
      <c r="A7" s="96"/>
      <c r="B7" s="103"/>
      <c r="C7" s="130">
        <v>86.4</v>
      </c>
      <c r="D7" s="50">
        <v>26.06</v>
      </c>
      <c r="E7" s="50">
        <f t="shared" si="0"/>
        <v>2251.584</v>
      </c>
      <c r="F7" s="3"/>
      <c r="G7" s="2"/>
      <c r="H7" s="3">
        <f>E6+E7</f>
        <v>10469.913</v>
      </c>
    </row>
    <row r="8" spans="1:8" ht="15" customHeight="1">
      <c r="A8" s="96"/>
      <c r="B8" s="103"/>
      <c r="C8" s="130">
        <v>1300.74</v>
      </c>
      <c r="D8" s="50">
        <v>49.52</v>
      </c>
      <c r="E8" s="50">
        <f t="shared" si="0"/>
        <v>64412.6448</v>
      </c>
      <c r="F8" s="3">
        <v>18118.59</v>
      </c>
      <c r="G8" s="3">
        <f>E8+F8</f>
        <v>82531.2348</v>
      </c>
      <c r="H8" s="2"/>
    </row>
    <row r="9" spans="1:8" ht="15" customHeight="1">
      <c r="A9" s="96"/>
      <c r="B9" s="104"/>
      <c r="C9" s="130">
        <v>226.6</v>
      </c>
      <c r="D9" s="50">
        <v>46.74</v>
      </c>
      <c r="E9" s="50">
        <f t="shared" si="0"/>
        <v>10591.284</v>
      </c>
      <c r="F9" s="3">
        <v>2385</v>
      </c>
      <c r="G9" s="3">
        <f>E9+F9</f>
        <v>12976.284</v>
      </c>
      <c r="H9" s="2"/>
    </row>
    <row r="10" spans="1:8" ht="15" customHeight="1">
      <c r="A10" s="96"/>
      <c r="B10" s="104"/>
      <c r="C10" s="130"/>
      <c r="D10" s="11" t="s">
        <v>151</v>
      </c>
      <c r="E10" s="11">
        <f>SUM(E4:E9)</f>
        <v>136251.58130000002</v>
      </c>
      <c r="F10" s="15">
        <f>SUM(F4:F9)</f>
        <v>39133.380000000005</v>
      </c>
      <c r="G10" s="15">
        <f>SUM(G4:G9)</f>
        <v>175384.96130000002</v>
      </c>
      <c r="H10" s="2"/>
    </row>
    <row r="11" spans="1:8" ht="15" customHeight="1">
      <c r="A11" s="96"/>
      <c r="B11" s="103"/>
      <c r="C11" s="130">
        <v>189.2</v>
      </c>
      <c r="D11" s="50">
        <v>24.6</v>
      </c>
      <c r="E11" s="50"/>
      <c r="F11" s="3"/>
      <c r="G11" s="3">
        <f>E11+F11</f>
        <v>0</v>
      </c>
      <c r="H11" s="2"/>
    </row>
    <row r="12" spans="1:8" ht="15" customHeight="1">
      <c r="A12" s="96"/>
      <c r="B12" s="104"/>
      <c r="C12" s="130">
        <v>1316</v>
      </c>
      <c r="D12" s="50">
        <v>1.7</v>
      </c>
      <c r="E12" s="50"/>
      <c r="F12" s="3"/>
      <c r="G12" s="3">
        <f>E12+F12</f>
        <v>0</v>
      </c>
      <c r="H12" s="2"/>
    </row>
    <row r="13" spans="1:8" ht="15" customHeight="1">
      <c r="A13" s="99"/>
      <c r="B13" s="100"/>
      <c r="C13" s="101"/>
      <c r="D13" s="11" t="s">
        <v>151</v>
      </c>
      <c r="E13" s="11">
        <v>6891.97</v>
      </c>
      <c r="F13" s="15"/>
      <c r="G13" s="11">
        <v>6891.97</v>
      </c>
      <c r="H13" s="2"/>
    </row>
    <row r="14" spans="4:7" ht="12.75">
      <c r="D14" s="124" t="s">
        <v>93</v>
      </c>
      <c r="E14" s="18">
        <f>E10+E13</f>
        <v>143143.55130000002</v>
      </c>
      <c r="F14" s="18"/>
      <c r="G14" s="18">
        <f>G10+G13</f>
        <v>182276.93130000003</v>
      </c>
    </row>
    <row r="15" spans="1:8" ht="15" customHeight="1">
      <c r="A15" s="96"/>
      <c r="B15" s="104"/>
      <c r="C15" s="130">
        <v>435.13</v>
      </c>
      <c r="D15" s="50">
        <v>46.74</v>
      </c>
      <c r="E15" s="50">
        <f>C15*D15</f>
        <v>20337.9762</v>
      </c>
      <c r="F15" s="3"/>
      <c r="G15" s="3">
        <f>E15+F15</f>
        <v>20337.9762</v>
      </c>
      <c r="H15" s="2"/>
    </row>
    <row r="16" spans="5:6" ht="12.75">
      <c r="E16" s="9"/>
      <c r="F16" s="9"/>
    </row>
    <row r="17" ht="12.75">
      <c r="D17" s="9"/>
    </row>
    <row r="18" ht="12.75">
      <c r="D18" s="9"/>
    </row>
    <row r="19" ht="12.75">
      <c r="D19" s="13"/>
    </row>
    <row r="20" spans="4:6" ht="14.25">
      <c r="D20" s="131"/>
      <c r="F20" s="9">
        <v>246000</v>
      </c>
    </row>
    <row r="21" spans="4:6" ht="14.25">
      <c r="D21" s="131"/>
      <c r="F21" s="9">
        <v>115620</v>
      </c>
    </row>
    <row r="22" spans="4:6" ht="14.25">
      <c r="D22" s="131"/>
      <c r="F22" s="9">
        <v>93818.25</v>
      </c>
    </row>
    <row r="23" spans="4:6" ht="14.25">
      <c r="D23" s="131"/>
      <c r="F23" s="9">
        <v>120294</v>
      </c>
    </row>
    <row r="24" spans="4:6" ht="12.75">
      <c r="D24" s="13"/>
      <c r="F24" s="9"/>
    </row>
    <row r="25" ht="12.75">
      <c r="F25" s="9"/>
    </row>
    <row r="26" ht="12.75">
      <c r="F26" s="9">
        <f>SUM(F20:F25)/4</f>
        <v>143933.0625</v>
      </c>
    </row>
    <row r="27" ht="12.75">
      <c r="F27" s="9"/>
    </row>
    <row r="28" ht="12.75">
      <c r="F28" s="9"/>
    </row>
    <row r="29" ht="12.75">
      <c r="F29" s="9"/>
    </row>
    <row r="30" ht="12.75">
      <c r="F30" s="9"/>
    </row>
    <row r="31" ht="12.75">
      <c r="F31" s="9"/>
    </row>
    <row r="32" ht="12.75">
      <c r="F32" s="9"/>
    </row>
    <row r="33" ht="12.75">
      <c r="F33" s="9"/>
    </row>
    <row r="34" ht="12.75">
      <c r="F34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D28"/>
  <sheetViews>
    <sheetView zoomScalePageLayoutView="0" workbookViewId="0" topLeftCell="A4">
      <selection activeCell="D37" sqref="D37"/>
    </sheetView>
  </sheetViews>
  <sheetFormatPr defaultColWidth="9.140625" defaultRowHeight="12.75"/>
  <cols>
    <col min="1" max="1" width="23.140625" style="0" customWidth="1"/>
    <col min="2" max="2" width="15.28125" style="0" customWidth="1"/>
    <col min="3" max="3" width="13.28125" style="0" customWidth="1"/>
    <col min="4" max="4" width="14.28125" style="0" customWidth="1"/>
  </cols>
  <sheetData>
    <row r="5" spans="1:3" ht="12.75">
      <c r="A5" s="13"/>
      <c r="B5" s="1" t="s">
        <v>47</v>
      </c>
      <c r="C5" s="1" t="s">
        <v>48</v>
      </c>
    </row>
    <row r="6" spans="1:4" ht="18" customHeight="1">
      <c r="A6" s="132" t="s">
        <v>341</v>
      </c>
      <c r="B6" s="9">
        <v>246000</v>
      </c>
      <c r="C6" s="9">
        <v>200000</v>
      </c>
      <c r="D6" s="9"/>
    </row>
    <row r="7" spans="1:4" ht="12.75">
      <c r="A7" s="132" t="s">
        <v>339</v>
      </c>
      <c r="B7" s="9">
        <v>115620</v>
      </c>
      <c r="C7" s="9">
        <v>94000</v>
      </c>
      <c r="D7" s="9"/>
    </row>
    <row r="8" spans="1:4" ht="12.75">
      <c r="A8" s="132" t="s">
        <v>340</v>
      </c>
      <c r="B8" s="9">
        <v>93818.25</v>
      </c>
      <c r="C8" s="9">
        <v>76275</v>
      </c>
      <c r="D8" s="9"/>
    </row>
    <row r="9" spans="1:4" ht="12.75">
      <c r="A9" s="132" t="s">
        <v>338</v>
      </c>
      <c r="B9" s="9">
        <v>120294</v>
      </c>
      <c r="C9" s="9">
        <v>97800</v>
      </c>
      <c r="D9" s="9"/>
    </row>
    <row r="10" spans="1:4" ht="12.75">
      <c r="A10" s="132" t="s">
        <v>342</v>
      </c>
      <c r="B10" s="133">
        <v>342063</v>
      </c>
      <c r="C10" s="9">
        <v>278100</v>
      </c>
      <c r="D10" s="133"/>
    </row>
    <row r="11" spans="1:4" ht="12.75">
      <c r="A11" s="132" t="s">
        <v>343</v>
      </c>
      <c r="B11" s="9">
        <v>424350</v>
      </c>
      <c r="C11" s="9">
        <v>345000</v>
      </c>
      <c r="D11" s="9"/>
    </row>
    <row r="12" spans="1:4" ht="12.75">
      <c r="A12" s="132" t="s">
        <v>345</v>
      </c>
      <c r="B12" s="9">
        <f>SUM(B6:B11)/6</f>
        <v>223690.875</v>
      </c>
      <c r="C12" s="9">
        <f>SUM(C6:C11)/6</f>
        <v>181862.5</v>
      </c>
      <c r="D12" s="9"/>
    </row>
    <row r="13" spans="1:4" ht="12.75">
      <c r="A13" s="132"/>
      <c r="B13" s="9"/>
      <c r="C13" s="9">
        <f>C12*0.23</f>
        <v>41828.375</v>
      </c>
      <c r="D13" s="9" t="s">
        <v>51</v>
      </c>
    </row>
    <row r="14" spans="1:3" ht="12.75">
      <c r="A14" s="132"/>
      <c r="B14" s="9"/>
      <c r="C14" s="9">
        <f>C12+C13</f>
        <v>223690.875</v>
      </c>
    </row>
    <row r="15" spans="1:4" ht="12.75">
      <c r="A15" s="132"/>
      <c r="B15" s="9"/>
      <c r="C15" s="9">
        <f>C12/4.0196</f>
        <v>45243.92974425316</v>
      </c>
      <c r="D15" t="s">
        <v>49</v>
      </c>
    </row>
    <row r="17" spans="1:3" ht="12.75">
      <c r="A17" t="s">
        <v>344</v>
      </c>
      <c r="B17" s="9">
        <v>350000</v>
      </c>
      <c r="C17" s="9">
        <f>B17/1.23</f>
        <v>284552.8455284553</v>
      </c>
    </row>
    <row r="18" spans="2:4" ht="12.75">
      <c r="B18" s="9"/>
      <c r="C18" s="9">
        <f>C17*0.23</f>
        <v>65447.154471544716</v>
      </c>
      <c r="D18" t="s">
        <v>51</v>
      </c>
    </row>
    <row r="19" spans="2:4" ht="12.75">
      <c r="B19" s="9"/>
      <c r="C19" s="9">
        <f>C17/4.0196</f>
        <v>70791.33384626712</v>
      </c>
      <c r="D19" t="s">
        <v>49</v>
      </c>
    </row>
    <row r="20" spans="2:3" ht="12.75">
      <c r="B20" s="9"/>
      <c r="C20" s="9"/>
    </row>
    <row r="21" spans="2:3" ht="12.75">
      <c r="B21" s="9">
        <v>600</v>
      </c>
      <c r="C21" s="9">
        <f>B21*4.21</f>
        <v>2526</v>
      </c>
    </row>
    <row r="22" spans="2:3" ht="12.75">
      <c r="B22" s="9"/>
      <c r="C22" s="9"/>
    </row>
    <row r="23" spans="2:3" ht="12.75">
      <c r="B23" s="9"/>
      <c r="C23" s="9"/>
    </row>
    <row r="24" spans="2:3" ht="12.75">
      <c r="B24" s="9"/>
      <c r="C24" s="9"/>
    </row>
    <row r="25" spans="2:3" ht="12.75">
      <c r="B25" s="9"/>
      <c r="C25" s="9"/>
    </row>
    <row r="26" spans="2:3" ht="12.75">
      <c r="B26" s="9"/>
      <c r="C26" s="9"/>
    </row>
    <row r="27" spans="2:3" ht="12.75">
      <c r="B27" s="9"/>
      <c r="C27" s="9"/>
    </row>
    <row r="28" spans="2:3" ht="12.75">
      <c r="B28" s="9"/>
      <c r="C2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D27"/>
  <sheetViews>
    <sheetView zoomScalePageLayoutView="0" workbookViewId="0" topLeftCell="A4">
      <selection activeCell="C18" sqref="C18"/>
    </sheetView>
  </sheetViews>
  <sheetFormatPr defaultColWidth="9.140625" defaultRowHeight="12.75"/>
  <cols>
    <col min="1" max="1" width="23.140625" style="0" customWidth="1"/>
    <col min="2" max="2" width="15.28125" style="0" customWidth="1"/>
    <col min="3" max="3" width="13.28125" style="0" customWidth="1"/>
    <col min="4" max="4" width="14.28125" style="0" customWidth="1"/>
  </cols>
  <sheetData>
    <row r="5" spans="1:3" ht="12.75">
      <c r="A5" s="13"/>
      <c r="B5" s="1" t="s">
        <v>47</v>
      </c>
      <c r="C5" s="1" t="s">
        <v>48</v>
      </c>
    </row>
    <row r="6" spans="1:4" ht="12.75">
      <c r="A6" s="132" t="s">
        <v>338</v>
      </c>
      <c r="B6" s="9">
        <v>179580</v>
      </c>
      <c r="C6" s="9">
        <f>B6/1.23</f>
        <v>146000</v>
      </c>
      <c r="D6" s="9"/>
    </row>
    <row r="7" spans="1:4" ht="12.75">
      <c r="A7" s="132" t="s">
        <v>342</v>
      </c>
      <c r="B7" s="133">
        <v>184500</v>
      </c>
      <c r="C7" s="9">
        <f>B7/1.23</f>
        <v>150000</v>
      </c>
      <c r="D7" s="133"/>
    </row>
    <row r="8" spans="1:4" ht="12.75">
      <c r="A8" s="132" t="s">
        <v>348</v>
      </c>
      <c r="B8" s="9">
        <v>135000</v>
      </c>
      <c r="C8" s="9">
        <f>B8/1.23</f>
        <v>109756.09756097561</v>
      </c>
      <c r="D8" s="9"/>
    </row>
    <row r="9" spans="1:4" ht="12.75">
      <c r="A9" s="132" t="s">
        <v>349</v>
      </c>
      <c r="B9" s="9">
        <v>172200</v>
      </c>
      <c r="C9" s="9">
        <f>B9/1.23</f>
        <v>140000</v>
      </c>
      <c r="D9" s="9"/>
    </row>
    <row r="10" spans="1:4" ht="12.75">
      <c r="A10" s="132" t="s">
        <v>154</v>
      </c>
      <c r="B10" s="9">
        <v>136579</v>
      </c>
      <c r="C10" s="9">
        <f>B10/1.23</f>
        <v>111039.83739837399</v>
      </c>
      <c r="D10" s="9"/>
    </row>
    <row r="11" spans="1:4" ht="12.75">
      <c r="A11" s="132" t="s">
        <v>345</v>
      </c>
      <c r="B11" s="9">
        <f>SUM(B6:B10)/5</f>
        <v>161571.8</v>
      </c>
      <c r="C11" s="9">
        <f>SUM(C6:C10)/5</f>
        <v>131359.1869918699</v>
      </c>
      <c r="D11" s="9"/>
    </row>
    <row r="12" spans="1:4" ht="12.75">
      <c r="A12" s="132"/>
      <c r="B12" s="9"/>
      <c r="C12" s="9">
        <f>B11-C11</f>
        <v>30212.61300813008</v>
      </c>
      <c r="D12" s="9" t="s">
        <v>51</v>
      </c>
    </row>
    <row r="13" spans="1:3" ht="12.75">
      <c r="A13" s="132"/>
      <c r="B13" s="9"/>
      <c r="C13" s="9">
        <f>C11+C12</f>
        <v>161571.8</v>
      </c>
    </row>
    <row r="14" spans="1:4" ht="12.75">
      <c r="A14" s="132"/>
      <c r="B14" s="9"/>
      <c r="C14" s="9">
        <f>C11/4.0196</f>
        <v>32679.66638269229</v>
      </c>
      <c r="D14" t="s">
        <v>49</v>
      </c>
    </row>
    <row r="16" spans="1:3" ht="12.75">
      <c r="A16" t="s">
        <v>344</v>
      </c>
      <c r="B16" s="9">
        <v>250000</v>
      </c>
      <c r="C16" s="9">
        <f>B16/1.23</f>
        <v>203252.0325203252</v>
      </c>
    </row>
    <row r="17" spans="2:4" ht="12.75">
      <c r="B17" s="9"/>
      <c r="C17" s="9">
        <f>C16*0.23</f>
        <v>46747.9674796748</v>
      </c>
      <c r="D17" t="s">
        <v>51</v>
      </c>
    </row>
    <row r="18" spans="2:4" ht="12.75">
      <c r="B18" s="9"/>
      <c r="C18" s="9">
        <f>C16/4.0196</f>
        <v>50565.238461619374</v>
      </c>
      <c r="D18" t="s">
        <v>49</v>
      </c>
    </row>
    <row r="19" spans="2:3" ht="12.75">
      <c r="B19" s="9"/>
      <c r="C19" s="9"/>
    </row>
    <row r="20" spans="2:3" ht="12.75">
      <c r="B20" s="9"/>
      <c r="C20" s="9"/>
    </row>
    <row r="21" spans="2:3" ht="12.75">
      <c r="B21" s="9"/>
      <c r="C21" s="9"/>
    </row>
    <row r="22" spans="2:3" ht="12.75">
      <c r="B22" s="9"/>
      <c r="C22" s="9"/>
    </row>
    <row r="23" spans="2:3" ht="12.75">
      <c r="B23" s="9"/>
      <c r="C23" s="9"/>
    </row>
    <row r="24" spans="2:3" ht="12.75">
      <c r="B24" s="9"/>
      <c r="C24" s="9"/>
    </row>
    <row r="25" spans="2:3" ht="12.75">
      <c r="B25" s="9"/>
      <c r="C25" s="9"/>
    </row>
    <row r="26" spans="2:3" ht="12.75">
      <c r="B26" s="9"/>
      <c r="C26" s="9"/>
    </row>
    <row r="27" spans="2:3" ht="12.75">
      <c r="B27" s="9"/>
      <c r="C2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4:E24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23.140625" style="0" customWidth="1"/>
    <col min="2" max="2" width="15.28125" style="0" customWidth="1"/>
    <col min="3" max="3" width="13.28125" style="0" customWidth="1"/>
    <col min="4" max="5" width="12.421875" style="0" customWidth="1"/>
  </cols>
  <sheetData>
    <row r="4" spans="2:5" ht="12.75">
      <c r="B4" s="186" t="s">
        <v>354</v>
      </c>
      <c r="C4" s="186"/>
      <c r="D4" s="186" t="s">
        <v>355</v>
      </c>
      <c r="E4" s="186"/>
    </row>
    <row r="5" spans="1:5" ht="12.75">
      <c r="A5" s="13"/>
      <c r="B5" s="134" t="s">
        <v>48</v>
      </c>
      <c r="C5" s="134" t="s">
        <v>47</v>
      </c>
      <c r="D5" s="134" t="s">
        <v>48</v>
      </c>
      <c r="E5" s="134" t="s">
        <v>47</v>
      </c>
    </row>
    <row r="6" spans="1:5" ht="12.75">
      <c r="A6" s="80" t="s">
        <v>353</v>
      </c>
      <c r="B6" s="50">
        <v>15000</v>
      </c>
      <c r="C6" s="50">
        <f>B6*1.23</f>
        <v>18450</v>
      </c>
      <c r="D6" s="50">
        <v>2900</v>
      </c>
      <c r="E6" s="50">
        <f>D6*1.23</f>
        <v>3567</v>
      </c>
    </row>
    <row r="7" spans="1:5" ht="12.75">
      <c r="A7" s="80" t="s">
        <v>350</v>
      </c>
      <c r="B7" s="8">
        <v>10400</v>
      </c>
      <c r="C7" s="50">
        <f>B7*1.23</f>
        <v>12792</v>
      </c>
      <c r="D7" s="8">
        <v>7200</v>
      </c>
      <c r="E7" s="50">
        <f>D7*1.23</f>
        <v>8856</v>
      </c>
    </row>
    <row r="8" spans="1:5" ht="12.75">
      <c r="A8" s="80" t="s">
        <v>351</v>
      </c>
      <c r="B8" s="50">
        <v>10650</v>
      </c>
      <c r="C8" s="50">
        <f>B8*1.23</f>
        <v>13099.5</v>
      </c>
      <c r="D8" s="50">
        <v>1950</v>
      </c>
      <c r="E8" s="50">
        <f>D8*1.23</f>
        <v>2398.5</v>
      </c>
    </row>
    <row r="9" spans="1:5" ht="12.75">
      <c r="A9" s="80" t="s">
        <v>352</v>
      </c>
      <c r="B9" s="50">
        <v>8376.15</v>
      </c>
      <c r="C9" s="50">
        <f>B9*1.23</f>
        <v>10302.664499999999</v>
      </c>
      <c r="D9" s="50">
        <v>3549</v>
      </c>
      <c r="E9" s="50">
        <f>D9*1.23</f>
        <v>4365.2699999999995</v>
      </c>
    </row>
    <row r="10" spans="1:5" ht="12.75">
      <c r="A10" s="135" t="s">
        <v>80</v>
      </c>
      <c r="B10" s="50">
        <f>SUM(B6:B9)/4</f>
        <v>11106.5375</v>
      </c>
      <c r="C10" s="50">
        <f>SUM(C6:C9)/4</f>
        <v>13661.041125</v>
      </c>
      <c r="D10" s="50">
        <f>SUM(D6:D9)/4</f>
        <v>3899.75</v>
      </c>
      <c r="E10" s="50">
        <f>SUM(E6:E9)/4</f>
        <v>4796.6925</v>
      </c>
    </row>
    <row r="11" spans="1:4" ht="12.75">
      <c r="A11" s="132"/>
      <c r="B11" s="9">
        <f>B10/4.0196</f>
        <v>2763.095208478456</v>
      </c>
      <c r="C11" s="9"/>
      <c r="D11" s="9">
        <f>D10/4.0196</f>
        <v>970.1836003582447</v>
      </c>
    </row>
    <row r="12" spans="1:5" ht="12.75">
      <c r="A12" s="39" t="s">
        <v>344</v>
      </c>
      <c r="B12" s="9"/>
      <c r="C12" s="9">
        <v>10000</v>
      </c>
      <c r="E12" s="9">
        <v>3500</v>
      </c>
    </row>
    <row r="14" spans="1:3" ht="12.75">
      <c r="A14" t="s">
        <v>356</v>
      </c>
      <c r="B14" s="9">
        <f>B10+D10</f>
        <v>15006.2875</v>
      </c>
      <c r="C14" s="9">
        <f>B14/4.0196</f>
        <v>3733.2788088367006</v>
      </c>
    </row>
    <row r="15" spans="1:3" ht="12.75">
      <c r="A15" t="s">
        <v>357</v>
      </c>
      <c r="B15" s="9">
        <f>C10+E10</f>
        <v>18457.733625</v>
      </c>
      <c r="C15" s="9"/>
    </row>
    <row r="16" spans="2:3" ht="12.75">
      <c r="B16" s="9">
        <f>B14*0.23</f>
        <v>3451.4461250000004</v>
      </c>
      <c r="C16" s="9"/>
    </row>
    <row r="17" spans="2:3" ht="12.75">
      <c r="B17" s="9"/>
      <c r="C17" s="9"/>
    </row>
    <row r="18" spans="2:3" ht="12.75">
      <c r="B18" s="9"/>
      <c r="C18" s="9"/>
    </row>
    <row r="19" spans="1:4" ht="12.75">
      <c r="A19" s="39" t="s">
        <v>358</v>
      </c>
      <c r="B19" s="9">
        <v>9283.61</v>
      </c>
      <c r="C19" s="9">
        <v>9740.37</v>
      </c>
      <c r="D19" s="9">
        <f>B19/C19*100</f>
        <v>95.31065041677061</v>
      </c>
    </row>
    <row r="20" spans="2:4" ht="12.75">
      <c r="B20" s="9">
        <v>9283.61</v>
      </c>
      <c r="C20" s="9">
        <v>12238.5</v>
      </c>
      <c r="D20" s="9">
        <f>B20/C20*100</f>
        <v>75.85578297994036</v>
      </c>
    </row>
    <row r="21" spans="2:4" ht="12.75">
      <c r="B21" s="9">
        <v>9283.61</v>
      </c>
      <c r="C21" s="9">
        <v>9283.61</v>
      </c>
      <c r="D21" s="9">
        <f>B21/C21*100</f>
        <v>100</v>
      </c>
    </row>
    <row r="22" spans="2:4" ht="12.75">
      <c r="B22" s="9"/>
      <c r="C22" s="9"/>
      <c r="D22" s="9"/>
    </row>
    <row r="23" spans="1:4" ht="12.75">
      <c r="A23" s="39"/>
      <c r="B23" s="9"/>
      <c r="C23" s="9"/>
      <c r="D23" s="9"/>
    </row>
    <row r="24" spans="2:4" ht="12.75">
      <c r="B24" s="9"/>
      <c r="C24" s="9"/>
      <c r="D24" s="9"/>
    </row>
  </sheetData>
  <sheetProtection/>
  <mergeCells count="2">
    <mergeCell ref="B4:C4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F30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16.8515625" style="0" customWidth="1"/>
    <col min="2" max="2" width="11.140625" style="0" customWidth="1"/>
    <col min="3" max="3" width="9.8515625" style="0" customWidth="1"/>
    <col min="4" max="4" width="15.28125" style="0" customWidth="1"/>
    <col min="5" max="5" width="13.28125" style="0" customWidth="1"/>
    <col min="6" max="6" width="12.140625" style="0" customWidth="1"/>
  </cols>
  <sheetData>
    <row r="4" spans="4:5" ht="12.75">
      <c r="D4" s="186" t="s">
        <v>364</v>
      </c>
      <c r="E4" s="186"/>
    </row>
    <row r="5" spans="1:6" ht="12.75">
      <c r="A5" s="13"/>
      <c r="B5" s="13"/>
      <c r="C5" s="13"/>
      <c r="D5" s="134" t="s">
        <v>48</v>
      </c>
      <c r="E5" s="134" t="s">
        <v>47</v>
      </c>
      <c r="F5" s="4" t="s">
        <v>51</v>
      </c>
    </row>
    <row r="6" spans="1:6" ht="12.75">
      <c r="A6" s="80" t="s">
        <v>359</v>
      </c>
      <c r="B6" s="80"/>
      <c r="C6" s="80"/>
      <c r="D6" s="50">
        <v>1278</v>
      </c>
      <c r="E6" s="50">
        <f>D6*1.23</f>
        <v>1571.94</v>
      </c>
      <c r="F6" s="3">
        <f>D6*0.23</f>
        <v>293.94</v>
      </c>
    </row>
    <row r="7" spans="1:6" ht="12.75">
      <c r="A7" s="80" t="s">
        <v>360</v>
      </c>
      <c r="B7" s="80"/>
      <c r="C7" s="80"/>
      <c r="D7" s="8">
        <v>1504</v>
      </c>
      <c r="E7" s="50">
        <f>D7*1.23</f>
        <v>1849.92</v>
      </c>
      <c r="F7" s="3">
        <f>D7*0.23</f>
        <v>345.92</v>
      </c>
    </row>
    <row r="8" spans="1:6" ht="12.75">
      <c r="A8" s="80" t="s">
        <v>361</v>
      </c>
      <c r="B8" s="136">
        <v>54.6</v>
      </c>
      <c r="C8" s="136">
        <f>B8*1.08</f>
        <v>58.968</v>
      </c>
      <c r="D8" s="50">
        <f>B8*45</f>
        <v>2457</v>
      </c>
      <c r="E8" s="50">
        <f>D8*1.08</f>
        <v>2653.5600000000004</v>
      </c>
      <c r="F8" s="138">
        <f>D8*0.08</f>
        <v>196.56</v>
      </c>
    </row>
    <row r="9" spans="1:6" ht="12.75">
      <c r="A9" s="80" t="s">
        <v>362</v>
      </c>
      <c r="B9" s="136"/>
      <c r="C9" s="136"/>
      <c r="D9" s="50">
        <v>203.7</v>
      </c>
      <c r="E9" s="50">
        <f>D9*1.08</f>
        <v>219.996</v>
      </c>
      <c r="F9" s="138">
        <f>D9*0.08</f>
        <v>16.296</v>
      </c>
    </row>
    <row r="10" spans="1:6" ht="12.75">
      <c r="A10" s="80" t="s">
        <v>363</v>
      </c>
      <c r="B10" s="136"/>
      <c r="C10" s="136"/>
      <c r="D10" s="50">
        <v>175.93</v>
      </c>
      <c r="E10" s="50">
        <f>D10*1.08</f>
        <v>190.00440000000003</v>
      </c>
      <c r="F10" s="138">
        <f>D10*0.08</f>
        <v>14.0744</v>
      </c>
    </row>
    <row r="11" spans="1:5" ht="12.75">
      <c r="A11" s="132"/>
      <c r="B11" s="137" t="s">
        <v>151</v>
      </c>
      <c r="C11" s="137"/>
      <c r="D11" s="11">
        <f>SUM(D6:D10)</f>
        <v>5618.63</v>
      </c>
      <c r="E11" s="11">
        <f>SUM(E6:E10)</f>
        <v>6485.4204</v>
      </c>
    </row>
    <row r="12" spans="1:5" ht="12.75">
      <c r="A12" s="39"/>
      <c r="B12" s="39"/>
      <c r="C12" s="57" t="s">
        <v>93</v>
      </c>
      <c r="D12" s="15">
        <f>D11*2</f>
        <v>11237.26</v>
      </c>
      <c r="E12" s="15">
        <f>E11*2</f>
        <v>12970.8408</v>
      </c>
    </row>
    <row r="13" spans="4:6" ht="12.75">
      <c r="D13" s="9"/>
      <c r="E13" s="124" t="s">
        <v>365</v>
      </c>
      <c r="F13" s="43">
        <f>(F8+F9+F10)*2</f>
        <v>453.8608</v>
      </c>
    </row>
    <row r="14" spans="4:6" ht="12.75">
      <c r="D14" s="9"/>
      <c r="E14" s="124" t="s">
        <v>366</v>
      </c>
      <c r="F14" s="43">
        <f>(F6+F7)*2</f>
        <v>1279.72</v>
      </c>
    </row>
    <row r="15" spans="4:5" ht="12.75">
      <c r="D15" s="9"/>
      <c r="E15" s="9"/>
    </row>
    <row r="16" spans="4:5" ht="12.75">
      <c r="D16" s="186" t="s">
        <v>367</v>
      </c>
      <c r="E16" s="186"/>
    </row>
    <row r="17" spans="1:6" ht="12.75">
      <c r="A17" s="13"/>
      <c r="B17" s="13"/>
      <c r="C17" s="13"/>
      <c r="D17" s="134" t="s">
        <v>48</v>
      </c>
      <c r="E17" s="134" t="s">
        <v>47</v>
      </c>
      <c r="F17" s="4" t="s">
        <v>51</v>
      </c>
    </row>
    <row r="18" spans="1:6" ht="12.75">
      <c r="A18" s="80" t="s">
        <v>359</v>
      </c>
      <c r="B18" s="80"/>
      <c r="C18" s="80"/>
      <c r="D18" s="50">
        <v>447.15</v>
      </c>
      <c r="E18" s="50">
        <f>D18*1.23</f>
        <v>549.9945</v>
      </c>
      <c r="F18" s="3">
        <f>D18*0.23</f>
        <v>102.8445</v>
      </c>
    </row>
    <row r="19" spans="1:6" ht="12.75">
      <c r="A19" s="80" t="s">
        <v>360</v>
      </c>
      <c r="B19" s="80"/>
      <c r="C19" s="80"/>
      <c r="D19" s="8">
        <v>894.31</v>
      </c>
      <c r="E19" s="50">
        <f>D19*1.23</f>
        <v>1100.0013</v>
      </c>
      <c r="F19" s="3">
        <f>D19*0.23</f>
        <v>205.69129999999998</v>
      </c>
    </row>
    <row r="20" spans="1:6" ht="12.75">
      <c r="A20" s="80" t="s">
        <v>361</v>
      </c>
      <c r="B20" s="136">
        <v>46.3</v>
      </c>
      <c r="C20" s="136">
        <f>B20*1.08</f>
        <v>50.004</v>
      </c>
      <c r="D20" s="50">
        <f>B20*45</f>
        <v>2083.5</v>
      </c>
      <c r="E20" s="50">
        <f>D20*1.08</f>
        <v>2250.1800000000003</v>
      </c>
      <c r="F20" s="138">
        <f>D20*0.08</f>
        <v>166.68</v>
      </c>
    </row>
    <row r="21" spans="1:6" ht="12.75">
      <c r="A21" s="80" t="s">
        <v>362</v>
      </c>
      <c r="B21" s="136"/>
      <c r="C21" s="136"/>
      <c r="D21" s="50">
        <v>202.78</v>
      </c>
      <c r="E21" s="50">
        <f>D21*1.08</f>
        <v>219.00240000000002</v>
      </c>
      <c r="F21" s="138">
        <f>D21*0.08</f>
        <v>16.2224</v>
      </c>
    </row>
    <row r="22" spans="1:6" ht="12.75">
      <c r="A22" s="80" t="s">
        <v>363</v>
      </c>
      <c r="B22" s="136"/>
      <c r="C22" s="136"/>
      <c r="D22" s="50">
        <v>175</v>
      </c>
      <c r="E22" s="50">
        <f>D22*1.08</f>
        <v>189</v>
      </c>
      <c r="F22" s="138">
        <f>D22*0.08</f>
        <v>14</v>
      </c>
    </row>
    <row r="23" spans="1:5" ht="12.75">
      <c r="A23" s="132"/>
      <c r="B23" s="137" t="s">
        <v>151</v>
      </c>
      <c r="C23" s="137"/>
      <c r="D23" s="11">
        <f>SUM(D18:D22)</f>
        <v>3802.7400000000002</v>
      </c>
      <c r="E23" s="11">
        <f>SUM(E18:E22)</f>
        <v>4308.1782</v>
      </c>
    </row>
    <row r="24" spans="1:5" ht="12.75">
      <c r="A24" s="39"/>
      <c r="B24" s="39"/>
      <c r="C24" s="57" t="s">
        <v>93</v>
      </c>
      <c r="D24" s="15">
        <f>D23*2</f>
        <v>7605.4800000000005</v>
      </c>
      <c r="E24" s="15">
        <f>E23*2</f>
        <v>8616.3564</v>
      </c>
    </row>
    <row r="25" spans="4:6" ht="12.75">
      <c r="D25" s="9"/>
      <c r="E25" s="124" t="s">
        <v>365</v>
      </c>
      <c r="F25" s="43">
        <f>(F20+F21+F22)*2</f>
        <v>393.8048</v>
      </c>
    </row>
    <row r="26" spans="4:6" ht="12.75">
      <c r="D26" s="9"/>
      <c r="E26" s="124" t="s">
        <v>366</v>
      </c>
      <c r="F26" s="43">
        <f>(F18+F19)*2</f>
        <v>617.0716</v>
      </c>
    </row>
    <row r="27" spans="4:5" ht="12.75">
      <c r="D27" s="9"/>
      <c r="E27" s="9"/>
    </row>
    <row r="28" spans="4:5" ht="12.75">
      <c r="D28" s="9"/>
      <c r="E28" s="9"/>
    </row>
    <row r="29" spans="4:5" ht="12.75">
      <c r="D29" s="9"/>
      <c r="E29" s="9"/>
    </row>
    <row r="30" spans="4:5" ht="12.75">
      <c r="D30" s="9"/>
      <c r="E30" s="9"/>
    </row>
  </sheetData>
  <sheetProtection/>
  <mergeCells count="2">
    <mergeCell ref="D4:E4"/>
    <mergeCell ref="D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23.140625" style="0" customWidth="1"/>
    <col min="2" max="2" width="15.28125" style="0" customWidth="1"/>
    <col min="3" max="3" width="13.28125" style="0" customWidth="1"/>
  </cols>
  <sheetData>
    <row r="4" spans="2:3" ht="12.75">
      <c r="B4" s="187"/>
      <c r="C4" s="188"/>
    </row>
    <row r="5" spans="1:3" ht="12.75">
      <c r="A5" s="13"/>
      <c r="B5" s="134" t="s">
        <v>48</v>
      </c>
      <c r="C5" s="134" t="s">
        <v>47</v>
      </c>
    </row>
    <row r="6" spans="1:3" ht="12.75">
      <c r="A6" s="80" t="s">
        <v>368</v>
      </c>
      <c r="B6" s="50">
        <v>1515</v>
      </c>
      <c r="C6" s="50">
        <f aca="true" t="shared" si="0" ref="C6:C12">B6*1.23</f>
        <v>1863.45</v>
      </c>
    </row>
    <row r="7" spans="1:3" ht="12.75">
      <c r="A7" s="80" t="s">
        <v>369</v>
      </c>
      <c r="B7" s="8">
        <v>1680</v>
      </c>
      <c r="C7" s="50">
        <f t="shared" si="0"/>
        <v>2066.4</v>
      </c>
    </row>
    <row r="8" spans="1:3" ht="12.75">
      <c r="A8" s="80" t="s">
        <v>370</v>
      </c>
      <c r="B8" s="50">
        <v>2250</v>
      </c>
      <c r="C8" s="50">
        <f t="shared" si="0"/>
        <v>2767.5</v>
      </c>
    </row>
    <row r="9" spans="1:3" ht="12.75">
      <c r="A9" s="80" t="s">
        <v>371</v>
      </c>
      <c r="B9" s="50"/>
      <c r="C9" s="50">
        <f t="shared" si="0"/>
        <v>0</v>
      </c>
    </row>
    <row r="10" spans="1:3" ht="12.75">
      <c r="A10" s="80" t="s">
        <v>372</v>
      </c>
      <c r="B10" s="50"/>
      <c r="C10" s="50">
        <f t="shared" si="0"/>
        <v>0</v>
      </c>
    </row>
    <row r="11" spans="1:3" ht="12.75">
      <c r="A11" s="80" t="s">
        <v>373</v>
      </c>
      <c r="B11" s="50"/>
      <c r="C11" s="50">
        <f t="shared" si="0"/>
        <v>0</v>
      </c>
    </row>
    <row r="12" spans="1:3" ht="12.75">
      <c r="A12" s="80" t="s">
        <v>374</v>
      </c>
      <c r="B12" s="50"/>
      <c r="C12" s="50">
        <f t="shared" si="0"/>
        <v>0</v>
      </c>
    </row>
    <row r="13" spans="1:3" ht="12.75">
      <c r="A13" s="132"/>
      <c r="B13" s="9"/>
      <c r="C13" s="9"/>
    </row>
    <row r="14" spans="1:3" ht="12.75">
      <c r="A14" s="39"/>
      <c r="B14" s="9"/>
      <c r="C14" s="9"/>
    </row>
    <row r="15" spans="2:3" ht="12.75">
      <c r="B15" s="9"/>
      <c r="C15" s="9"/>
    </row>
    <row r="16" spans="2:3" ht="12.75">
      <c r="B16" s="9"/>
      <c r="C16" s="9"/>
    </row>
    <row r="17" spans="2:3" ht="12.75">
      <c r="B17" s="9"/>
      <c r="C17" s="9"/>
    </row>
    <row r="18" spans="2:3" ht="12.75">
      <c r="B18" s="9"/>
      <c r="C18" s="9"/>
    </row>
    <row r="19" spans="2:3" ht="12.75">
      <c r="B19" s="9"/>
      <c r="C19" s="9"/>
    </row>
    <row r="20" spans="2:3" ht="12.75">
      <c r="B20" s="9"/>
      <c r="C20" s="9"/>
    </row>
    <row r="21" spans="2:3" ht="12.75">
      <c r="B21" s="9"/>
      <c r="C21" s="9"/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8"/>
  <sheetViews>
    <sheetView zoomScalePageLayoutView="0" workbookViewId="0" topLeftCell="A40">
      <selection activeCell="E69" sqref="E69"/>
    </sheetView>
  </sheetViews>
  <sheetFormatPr defaultColWidth="9.140625" defaultRowHeight="12.75"/>
  <cols>
    <col min="1" max="1" width="7.140625" style="0" customWidth="1"/>
    <col min="2" max="2" width="25.8515625" style="0" customWidth="1"/>
    <col min="3" max="3" width="15.8515625" style="0" customWidth="1"/>
    <col min="4" max="4" width="14.28125" style="0" customWidth="1"/>
    <col min="5" max="5" width="13.28125" style="0" customWidth="1"/>
    <col min="6" max="6" width="11.7109375" style="0" customWidth="1"/>
    <col min="7" max="7" width="9.8515625" style="0" customWidth="1"/>
  </cols>
  <sheetData>
    <row r="2" spans="1:4" ht="12.75">
      <c r="A2" s="5" t="s">
        <v>3</v>
      </c>
      <c r="B2" s="5" t="s">
        <v>0</v>
      </c>
      <c r="C2" s="5" t="s">
        <v>1</v>
      </c>
      <c r="D2" s="5" t="s">
        <v>2</v>
      </c>
    </row>
    <row r="3" spans="1:4" ht="12.75">
      <c r="A3" s="4" t="s">
        <v>4</v>
      </c>
      <c r="B3" s="2" t="s">
        <v>67</v>
      </c>
      <c r="C3" s="8">
        <v>61620</v>
      </c>
      <c r="D3" s="8">
        <v>81881.1</v>
      </c>
    </row>
    <row r="4" spans="1:4" ht="12.75">
      <c r="A4" s="4" t="s">
        <v>5</v>
      </c>
      <c r="B4" s="2" t="s">
        <v>64</v>
      </c>
      <c r="C4" s="8"/>
      <c r="D4" s="8"/>
    </row>
    <row r="5" spans="1:4" ht="12.75">
      <c r="A5" s="4" t="s">
        <v>6</v>
      </c>
      <c r="B5" s="2" t="s">
        <v>70</v>
      </c>
      <c r="C5" s="8"/>
      <c r="D5" s="8"/>
    </row>
    <row r="6" spans="1:4" ht="12.75">
      <c r="A6" s="4" t="s">
        <v>7</v>
      </c>
      <c r="B6" s="2" t="s">
        <v>69</v>
      </c>
      <c r="C6" s="8"/>
      <c r="D6" s="8"/>
    </row>
    <row r="7" spans="1:4" ht="12.75">
      <c r="A7" s="4" t="s">
        <v>8</v>
      </c>
      <c r="B7" s="2" t="s">
        <v>66</v>
      </c>
      <c r="C7" s="8">
        <v>326362.2</v>
      </c>
      <c r="D7" s="8">
        <v>401425.51</v>
      </c>
    </row>
    <row r="8" spans="1:4" ht="12.75">
      <c r="A8" s="4" t="s">
        <v>9</v>
      </c>
      <c r="B8" s="2" t="s">
        <v>58</v>
      </c>
      <c r="C8" s="8"/>
      <c r="D8" s="8"/>
    </row>
    <row r="9" spans="1:4" ht="12.75">
      <c r="A9" s="4" t="s">
        <v>10</v>
      </c>
      <c r="B9" s="2" t="s">
        <v>72</v>
      </c>
      <c r="C9" s="8"/>
      <c r="D9" s="8"/>
    </row>
    <row r="10" spans="1:4" ht="12.75">
      <c r="A10" s="4" t="s">
        <v>11</v>
      </c>
      <c r="B10" s="2" t="s">
        <v>62</v>
      </c>
      <c r="C10" s="8"/>
      <c r="D10" s="8"/>
    </row>
    <row r="11" spans="1:4" ht="12.75">
      <c r="A11" s="4" t="s">
        <v>12</v>
      </c>
      <c r="B11" s="2" t="s">
        <v>71</v>
      </c>
      <c r="C11" s="8"/>
      <c r="D11" s="8"/>
    </row>
    <row r="12" spans="1:5" ht="12.75">
      <c r="A12" s="4" t="s">
        <v>13</v>
      </c>
      <c r="B12" s="10" t="s">
        <v>60</v>
      </c>
      <c r="C12" s="8"/>
      <c r="D12" s="8"/>
      <c r="E12" t="s">
        <v>83</v>
      </c>
    </row>
    <row r="13" spans="1:4" ht="12.75">
      <c r="A13" s="4" t="s">
        <v>24</v>
      </c>
      <c r="B13" s="2" t="s">
        <v>68</v>
      </c>
      <c r="C13" s="8">
        <v>156010</v>
      </c>
      <c r="D13" s="8">
        <v>191892.3</v>
      </c>
    </row>
    <row r="14" spans="1:4" ht="12.75">
      <c r="A14" s="4" t="s">
        <v>25</v>
      </c>
      <c r="B14" s="2" t="s">
        <v>63</v>
      </c>
      <c r="C14" s="8"/>
      <c r="D14" s="8"/>
    </row>
    <row r="15" spans="1:4" ht="12.75">
      <c r="A15" s="4" t="s">
        <v>26</v>
      </c>
      <c r="B15" s="2" t="s">
        <v>57</v>
      </c>
      <c r="C15" s="8"/>
      <c r="D15" s="8"/>
    </row>
    <row r="16" spans="1:4" ht="12.75">
      <c r="A16" s="4" t="s">
        <v>27</v>
      </c>
      <c r="B16" s="2" t="s">
        <v>59</v>
      </c>
      <c r="C16" s="8"/>
      <c r="D16" s="8"/>
    </row>
    <row r="17" spans="1:4" ht="12.75">
      <c r="A17" s="4" t="s">
        <v>28</v>
      </c>
      <c r="B17" s="6" t="s">
        <v>55</v>
      </c>
      <c r="C17" s="8">
        <v>152322.3</v>
      </c>
      <c r="D17" s="8">
        <v>175996.67</v>
      </c>
    </row>
    <row r="18" spans="1:4" ht="12.75">
      <c r="A18" s="4" t="s">
        <v>29</v>
      </c>
      <c r="B18" s="2" t="s">
        <v>56</v>
      </c>
      <c r="C18" s="8"/>
      <c r="D18" s="8"/>
    </row>
    <row r="19" spans="1:5" ht="12.75">
      <c r="A19" s="4" t="s">
        <v>30</v>
      </c>
      <c r="B19" s="10" t="s">
        <v>61</v>
      </c>
      <c r="C19" s="8"/>
      <c r="D19" s="8"/>
      <c r="E19" t="s">
        <v>83</v>
      </c>
    </row>
    <row r="20" spans="1:4" ht="12.75">
      <c r="A20" s="4" t="s">
        <v>73</v>
      </c>
      <c r="B20" s="2" t="s">
        <v>65</v>
      </c>
      <c r="C20" s="8"/>
      <c r="D20" s="8"/>
    </row>
    <row r="21" spans="2:4" ht="12.75">
      <c r="B21" s="7"/>
      <c r="C21" s="11">
        <f>SUM(C3:C20)</f>
        <v>696314.5</v>
      </c>
      <c r="D21" s="11">
        <f>SUM(D3:D20)</f>
        <v>851195.58</v>
      </c>
    </row>
    <row r="22" spans="2:4" ht="12.75">
      <c r="B22" s="13"/>
      <c r="C22" s="14"/>
      <c r="D22" s="14"/>
    </row>
    <row r="23" spans="2:4" ht="12.75">
      <c r="B23" s="42" t="s">
        <v>80</v>
      </c>
      <c r="C23" s="14"/>
      <c r="D23" s="14">
        <f>AVERAGE(D3:D20)</f>
        <v>212798.895</v>
      </c>
    </row>
    <row r="24" spans="2:4" ht="12.75">
      <c r="B24" s="13"/>
      <c r="C24" s="14"/>
      <c r="D24" s="14"/>
    </row>
    <row r="25" spans="1:4" ht="12.75">
      <c r="A25" s="34" t="s">
        <v>8</v>
      </c>
      <c r="B25" s="35" t="s">
        <v>66</v>
      </c>
      <c r="C25" s="9"/>
      <c r="D25" s="9"/>
    </row>
    <row r="26" spans="2:4" ht="12.75">
      <c r="B26" t="s">
        <v>85</v>
      </c>
      <c r="C26" s="26">
        <v>50121.2</v>
      </c>
      <c r="D26" s="27">
        <f aca="true" t="shared" si="0" ref="D26:D31">C26*1.23</f>
        <v>61649.075999999994</v>
      </c>
    </row>
    <row r="27" spans="1:4" ht="12.75">
      <c r="A27" s="28"/>
      <c r="B27" s="12" t="s">
        <v>88</v>
      </c>
      <c r="C27" s="29">
        <v>127850</v>
      </c>
      <c r="D27" s="30">
        <f t="shared" si="0"/>
        <v>157255.5</v>
      </c>
    </row>
    <row r="28" spans="1:4" ht="12.75">
      <c r="A28" s="28"/>
      <c r="B28" s="12" t="s">
        <v>89</v>
      </c>
      <c r="C28" s="29">
        <v>21365</v>
      </c>
      <c r="D28" s="30">
        <f t="shared" si="0"/>
        <v>26278.95</v>
      </c>
    </row>
    <row r="29" spans="1:4" ht="12.75">
      <c r="A29" s="28"/>
      <c r="B29" s="12" t="s">
        <v>90</v>
      </c>
      <c r="C29" s="29">
        <v>45026</v>
      </c>
      <c r="D29" s="30">
        <f t="shared" si="0"/>
        <v>55381.979999999996</v>
      </c>
    </row>
    <row r="30" spans="1:5" ht="12.75">
      <c r="A30" s="28"/>
      <c r="B30" s="12" t="s">
        <v>91</v>
      </c>
      <c r="C30" s="29">
        <v>49756</v>
      </c>
      <c r="D30" s="30">
        <f t="shared" si="0"/>
        <v>61199.88</v>
      </c>
      <c r="E30" s="43">
        <f>SUM(D27:D30)</f>
        <v>300116.31</v>
      </c>
    </row>
    <row r="31" spans="1:4" ht="12.75">
      <c r="A31" s="28"/>
      <c r="B31" s="12" t="s">
        <v>92</v>
      </c>
      <c r="C31" s="29">
        <v>32244</v>
      </c>
      <c r="D31" s="30">
        <f t="shared" si="0"/>
        <v>39660.12</v>
      </c>
    </row>
    <row r="32" spans="1:4" ht="12.75">
      <c r="A32" s="31"/>
      <c r="B32" s="36" t="s">
        <v>84</v>
      </c>
      <c r="C32" s="37">
        <f>SUM(C26:C31)</f>
        <v>326362.2</v>
      </c>
      <c r="D32" s="38">
        <f>SUM(D26:D31)</f>
        <v>401425.506</v>
      </c>
    </row>
    <row r="33" spans="2:4" ht="12.75">
      <c r="B33" s="39"/>
      <c r="C33" s="9"/>
      <c r="D33" s="9"/>
    </row>
    <row r="34" spans="3:4" ht="12.75">
      <c r="C34" s="9"/>
      <c r="D34" s="9"/>
    </row>
    <row r="35" spans="1:4" ht="12.75">
      <c r="A35" s="34" t="s">
        <v>24</v>
      </c>
      <c r="B35" s="35" t="s">
        <v>68</v>
      </c>
      <c r="C35" s="9"/>
      <c r="D35" s="9"/>
    </row>
    <row r="36" spans="2:5" ht="12.75">
      <c r="B36" t="s">
        <v>85</v>
      </c>
      <c r="C36" s="26">
        <v>19220</v>
      </c>
      <c r="D36" s="27">
        <v>23641</v>
      </c>
      <c r="E36" s="9">
        <f>D36+F43</f>
        <v>27249.099999999995</v>
      </c>
    </row>
    <row r="37" spans="1:4" ht="12.75">
      <c r="A37" s="28"/>
      <c r="B37" s="12" t="s">
        <v>88</v>
      </c>
      <c r="C37" s="29">
        <v>64880</v>
      </c>
      <c r="D37" s="30">
        <v>79802</v>
      </c>
    </row>
    <row r="38" spans="1:4" ht="12.75">
      <c r="A38" s="28"/>
      <c r="B38" s="12" t="s">
        <v>89</v>
      </c>
      <c r="C38" s="29">
        <v>11050</v>
      </c>
      <c r="D38" s="30">
        <v>13592</v>
      </c>
    </row>
    <row r="39" spans="1:4" ht="12.75">
      <c r="A39" s="28"/>
      <c r="B39" s="12" t="s">
        <v>90</v>
      </c>
      <c r="C39" s="29">
        <v>23380</v>
      </c>
      <c r="D39" s="30">
        <v>28757</v>
      </c>
    </row>
    <row r="40" spans="1:6" ht="12.75">
      <c r="A40" s="28"/>
      <c r="B40" s="12" t="s">
        <v>91</v>
      </c>
      <c r="C40" s="29">
        <v>20880</v>
      </c>
      <c r="D40" s="30">
        <v>25682</v>
      </c>
      <c r="E40" s="43">
        <f>SUM(D37:D40)</f>
        <v>147833</v>
      </c>
      <c r="F40" s="9">
        <f>E40+F43</f>
        <v>151441.1</v>
      </c>
    </row>
    <row r="41" spans="1:5" ht="12.75">
      <c r="A41" s="28"/>
      <c r="B41" s="12" t="s">
        <v>92</v>
      </c>
      <c r="C41" s="29">
        <v>7800</v>
      </c>
      <c r="D41" s="30">
        <v>9594</v>
      </c>
      <c r="E41" s="9">
        <f>D41+F43</f>
        <v>13202.099999999997</v>
      </c>
    </row>
    <row r="42" spans="1:6" ht="12.75">
      <c r="A42" s="31"/>
      <c r="B42" s="36" t="s">
        <v>84</v>
      </c>
      <c r="C42" s="37">
        <f>SUM(C36:C41)</f>
        <v>147210</v>
      </c>
      <c r="D42" s="38">
        <f>SUM(D36:D41)</f>
        <v>181068</v>
      </c>
      <c r="E42" s="9">
        <f>C13-C42</f>
        <v>8800</v>
      </c>
      <c r="F42" s="9">
        <f>D13-D42</f>
        <v>10824.299999999988</v>
      </c>
    </row>
    <row r="43" spans="2:6" ht="12.75">
      <c r="B43" s="39"/>
      <c r="C43" s="9"/>
      <c r="D43" s="9"/>
      <c r="E43" s="9"/>
      <c r="F43" s="9">
        <f>F42/3</f>
        <v>3608.0999999999963</v>
      </c>
    </row>
    <row r="45" spans="1:4" ht="12.75">
      <c r="A45" s="34" t="s">
        <v>4</v>
      </c>
      <c r="B45" s="35" t="s">
        <v>67</v>
      </c>
      <c r="C45" s="9"/>
      <c r="D45" s="9"/>
    </row>
    <row r="46" spans="2:4" ht="12.75">
      <c r="B46" t="s">
        <v>85</v>
      </c>
      <c r="C46" s="26">
        <v>16100</v>
      </c>
      <c r="D46" s="27">
        <v>19803</v>
      </c>
    </row>
    <row r="47" spans="1:4" ht="12.75">
      <c r="A47" s="28"/>
      <c r="B47" s="12" t="s">
        <v>88</v>
      </c>
      <c r="C47" s="29">
        <v>9200</v>
      </c>
      <c r="D47" s="30">
        <v>11316</v>
      </c>
    </row>
    <row r="48" spans="1:4" ht="12.75">
      <c r="A48" s="28"/>
      <c r="B48" s="12" t="s">
        <v>89</v>
      </c>
      <c r="C48" s="29">
        <v>5470</v>
      </c>
      <c r="D48" s="30">
        <v>6728.1</v>
      </c>
    </row>
    <row r="49" spans="1:4" ht="12.75">
      <c r="A49" s="28"/>
      <c r="B49" s="12" t="s">
        <v>90</v>
      </c>
      <c r="C49" s="29">
        <v>15800</v>
      </c>
      <c r="D49" s="30">
        <v>19434</v>
      </c>
    </row>
    <row r="50" spans="1:5" ht="12.75">
      <c r="A50" s="28"/>
      <c r="B50" s="12" t="s">
        <v>91</v>
      </c>
      <c r="C50" s="29">
        <v>14500</v>
      </c>
      <c r="D50" s="30">
        <v>17835</v>
      </c>
      <c r="E50" s="43">
        <f>SUM(D47:D50)</f>
        <v>55313.1</v>
      </c>
    </row>
    <row r="51" spans="1:4" ht="12.75">
      <c r="A51" s="28"/>
      <c r="B51" s="12" t="s">
        <v>92</v>
      </c>
      <c r="C51" s="29">
        <v>550</v>
      </c>
      <c r="D51" s="30">
        <v>6765</v>
      </c>
    </row>
    <row r="52" spans="1:4" ht="12.75">
      <c r="A52" s="31"/>
      <c r="B52" s="36" t="s">
        <v>84</v>
      </c>
      <c r="C52" s="37">
        <f>SUM(C46:C51)</f>
        <v>61620</v>
      </c>
      <c r="D52" s="38">
        <f>SUM(D46:D51)</f>
        <v>81881.1</v>
      </c>
    </row>
    <row r="53" spans="1:4" ht="12.75">
      <c r="A53" s="13"/>
      <c r="B53" s="45"/>
      <c r="C53" s="46"/>
      <c r="D53" s="46"/>
    </row>
    <row r="54" spans="1:4" ht="12.75">
      <c r="A54" s="13"/>
      <c r="B54" s="45"/>
      <c r="C54" s="46"/>
      <c r="D54" s="46"/>
    </row>
    <row r="55" spans="1:4" ht="12.75">
      <c r="A55" s="34" t="s">
        <v>28</v>
      </c>
      <c r="B55" s="35" t="s">
        <v>55</v>
      </c>
      <c r="C55" s="9"/>
      <c r="D55" s="9"/>
    </row>
    <row r="56" spans="2:6" ht="12.75">
      <c r="B56" t="s">
        <v>85</v>
      </c>
      <c r="C56" s="26"/>
      <c r="D56" s="27">
        <v>31948.02</v>
      </c>
      <c r="F56" s="9"/>
    </row>
    <row r="57" spans="1:4" ht="12.75">
      <c r="A57" s="28"/>
      <c r="B57" s="12" t="s">
        <v>88</v>
      </c>
      <c r="C57" s="29"/>
      <c r="D57" s="30">
        <v>52593.84</v>
      </c>
    </row>
    <row r="58" spans="1:4" ht="12.75">
      <c r="A58" s="28"/>
      <c r="B58" s="12" t="s">
        <v>89</v>
      </c>
      <c r="C58" s="29"/>
      <c r="D58" s="30">
        <v>23601.24</v>
      </c>
    </row>
    <row r="59" spans="1:4" ht="12.75">
      <c r="A59" s="28"/>
      <c r="B59" s="12" t="s">
        <v>90</v>
      </c>
      <c r="C59" s="29"/>
      <c r="D59" s="30">
        <v>23601.24</v>
      </c>
    </row>
    <row r="60" spans="1:5" ht="12.75">
      <c r="A60" s="28"/>
      <c r="B60" s="12" t="s">
        <v>91</v>
      </c>
      <c r="C60" s="29"/>
      <c r="D60" s="30">
        <v>28134.41</v>
      </c>
      <c r="E60" s="43">
        <f>SUM(D57:D60)</f>
        <v>127930.73000000001</v>
      </c>
    </row>
    <row r="61" spans="1:4" ht="12.75">
      <c r="A61" s="28"/>
      <c r="B61" s="12" t="s">
        <v>92</v>
      </c>
      <c r="C61" s="29"/>
      <c r="D61" s="30">
        <v>16117.92</v>
      </c>
    </row>
    <row r="62" spans="1:6" ht="12.75">
      <c r="A62" s="31"/>
      <c r="B62" s="36" t="s">
        <v>84</v>
      </c>
      <c r="C62" s="37">
        <f>SUM(C56:C61)</f>
        <v>0</v>
      </c>
      <c r="D62" s="38">
        <f>SUM(D56:D61)</f>
        <v>175996.67</v>
      </c>
      <c r="F62" s="9"/>
    </row>
    <row r="63" spans="1:4" ht="12.75">
      <c r="A63" s="13"/>
      <c r="B63" s="45"/>
      <c r="C63" s="46"/>
      <c r="D63" s="47"/>
    </row>
    <row r="64" spans="1:4" ht="12.75">
      <c r="A64" s="13"/>
      <c r="B64" s="45"/>
      <c r="C64" s="46"/>
      <c r="D64" s="47"/>
    </row>
    <row r="65" spans="4:5" ht="12.75">
      <c r="D65" s="44" t="s">
        <v>107</v>
      </c>
      <c r="E65" s="44" t="s">
        <v>80</v>
      </c>
    </row>
    <row r="66" spans="2:6" ht="12.75">
      <c r="B66" s="2" t="s">
        <v>101</v>
      </c>
      <c r="C66" s="2" t="s">
        <v>106</v>
      </c>
      <c r="D66" s="3">
        <v>10000</v>
      </c>
      <c r="E66" s="3">
        <f>SUM(D26,E36,D46,D56)/4</f>
        <v>35162.299</v>
      </c>
      <c r="F66" s="9"/>
    </row>
    <row r="67" spans="2:5" ht="12.75">
      <c r="B67" s="2" t="s">
        <v>102</v>
      </c>
      <c r="C67" s="2" t="s">
        <v>105</v>
      </c>
      <c r="D67" s="3">
        <v>250000</v>
      </c>
      <c r="E67" s="3">
        <f>SUM(E30,F40,E50,E60)/4</f>
        <v>158700.31</v>
      </c>
    </row>
    <row r="68" spans="2:5" ht="12.75">
      <c r="B68" s="2" t="s">
        <v>103</v>
      </c>
      <c r="C68" s="2" t="s">
        <v>104</v>
      </c>
      <c r="D68" s="3">
        <v>15000</v>
      </c>
      <c r="E68" s="3">
        <f>SUM(D31,E41,D51,D61)/4</f>
        <v>18936.285</v>
      </c>
    </row>
  </sheetData>
  <sheetProtection/>
  <printOptions/>
  <pageMargins left="0.5905511811023623" right="0.5905511811023623" top="0.5905511811023623" bottom="0.5905511811023623" header="0" footer="0"/>
  <pageSetup horizontalDpi="600" verticalDpi="6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4:C1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3.140625" style="0" customWidth="1"/>
    <col min="2" max="2" width="15.28125" style="0" customWidth="1"/>
    <col min="3" max="3" width="13.28125" style="0" customWidth="1"/>
  </cols>
  <sheetData>
    <row r="4" spans="2:3" ht="12.75">
      <c r="B4" s="187"/>
      <c r="C4" s="188"/>
    </row>
    <row r="5" spans="1:3" ht="12.75">
      <c r="A5" s="13"/>
      <c r="B5" s="134" t="s">
        <v>48</v>
      </c>
      <c r="C5" s="134" t="s">
        <v>47</v>
      </c>
    </row>
    <row r="6" spans="1:3" ht="12.75">
      <c r="A6" s="80" t="s">
        <v>375</v>
      </c>
      <c r="B6" s="50">
        <v>41000</v>
      </c>
      <c r="C6" s="50">
        <f>B6*1.23</f>
        <v>50430</v>
      </c>
    </row>
    <row r="7" spans="1:3" ht="12.75">
      <c r="A7" s="80" t="s">
        <v>376</v>
      </c>
      <c r="B7" s="8">
        <v>43000</v>
      </c>
      <c r="C7" s="50">
        <f>B7*1.23</f>
        <v>52890</v>
      </c>
    </row>
    <row r="8" spans="1:3" ht="12.75">
      <c r="A8" s="80" t="s">
        <v>377</v>
      </c>
      <c r="B8" s="50">
        <v>39000</v>
      </c>
      <c r="C8" s="50">
        <f>B8*1.23</f>
        <v>47970</v>
      </c>
    </row>
    <row r="9" spans="1:3" ht="12.75">
      <c r="A9" s="140" t="s">
        <v>335</v>
      </c>
      <c r="B9" s="9">
        <f>SUM(B6:B8)</f>
        <v>123000</v>
      </c>
      <c r="C9" s="9">
        <f>SUM(C6:C8)</f>
        <v>151290</v>
      </c>
    </row>
    <row r="10" spans="1:3" ht="12.75">
      <c r="A10" s="39" t="s">
        <v>80</v>
      </c>
      <c r="B10" s="9">
        <f>B9/3</f>
        <v>41000</v>
      </c>
      <c r="C10" s="9">
        <f>C9/3</f>
        <v>50430</v>
      </c>
    </row>
    <row r="11" spans="1:3" ht="12.75">
      <c r="A11" s="139" t="s">
        <v>131</v>
      </c>
      <c r="B11" s="9">
        <f>B10*0.23</f>
        <v>9430</v>
      </c>
      <c r="C11" s="9"/>
    </row>
    <row r="12" spans="1:3" ht="12.75">
      <c r="A12" s="139" t="s">
        <v>49</v>
      </c>
      <c r="B12" s="9">
        <f>B10/4.0196</f>
        <v>10200.01990247786</v>
      </c>
      <c r="C12" s="9"/>
    </row>
    <row r="13" spans="2:3" ht="12.75">
      <c r="B13" s="9"/>
      <c r="C13" s="9"/>
    </row>
    <row r="14" spans="2:3" ht="12.75">
      <c r="B14" s="9"/>
      <c r="C14" s="9"/>
    </row>
    <row r="15" spans="2:3" ht="12.75">
      <c r="B15" s="9"/>
      <c r="C15" s="9"/>
    </row>
    <row r="16" spans="2:3" ht="12.75">
      <c r="B16" s="9"/>
      <c r="C16" s="9"/>
    </row>
    <row r="17" spans="2:3" ht="12.75">
      <c r="B17" s="9"/>
      <c r="C17" s="9"/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1.57421875" style="0" customWidth="1"/>
    <col min="2" max="2" width="13.28125" style="0" customWidth="1"/>
    <col min="3" max="3" width="14.28125" style="0" customWidth="1"/>
    <col min="4" max="4" width="13.421875" style="0" customWidth="1"/>
    <col min="5" max="5" width="14.57421875" style="0" customWidth="1"/>
    <col min="6" max="6" width="11.7109375" style="0" customWidth="1"/>
    <col min="7" max="7" width="11.28125" style="0" customWidth="1"/>
  </cols>
  <sheetData>
    <row r="1" spans="1:4" ht="12.75">
      <c r="A1" s="4" t="s">
        <v>378</v>
      </c>
      <c r="B1" s="49" t="s">
        <v>379</v>
      </c>
      <c r="C1" s="4" t="s">
        <v>380</v>
      </c>
      <c r="D1" s="4" t="s">
        <v>381</v>
      </c>
    </row>
    <row r="2" spans="1:4" ht="12.75">
      <c r="A2" s="4" t="s">
        <v>382</v>
      </c>
      <c r="B2" s="50">
        <v>8817.87</v>
      </c>
      <c r="C2" s="50">
        <v>10824</v>
      </c>
      <c r="D2" s="50">
        <f>B2/C2*100</f>
        <v>81.4659090909091</v>
      </c>
    </row>
    <row r="3" spans="1:4" ht="12.75">
      <c r="A3" s="4" t="s">
        <v>383</v>
      </c>
      <c r="B3" s="50">
        <v>8817.87</v>
      </c>
      <c r="C3" s="50">
        <v>10596.45</v>
      </c>
      <c r="D3" s="50">
        <f aca="true" t="shared" si="0" ref="D3:D8">B3/C3*100</f>
        <v>83.21532211259431</v>
      </c>
    </row>
    <row r="4" spans="1:4" s="1" customFormat="1" ht="12.75">
      <c r="A4" s="4" t="s">
        <v>79</v>
      </c>
      <c r="B4" s="50">
        <v>8817.87</v>
      </c>
      <c r="C4" s="50">
        <v>8916.27</v>
      </c>
      <c r="D4" s="50">
        <f t="shared" si="0"/>
        <v>98.89639950337978</v>
      </c>
    </row>
    <row r="5" spans="1:4" ht="12.75">
      <c r="A5" s="141" t="s">
        <v>384</v>
      </c>
      <c r="B5" s="50">
        <v>8817.87</v>
      </c>
      <c r="C5" s="50">
        <v>10701</v>
      </c>
      <c r="D5" s="50">
        <f t="shared" si="0"/>
        <v>82.40229885057472</v>
      </c>
    </row>
    <row r="6" spans="1:4" ht="12.75">
      <c r="A6" s="141" t="s">
        <v>385</v>
      </c>
      <c r="B6" s="50">
        <v>8817.87</v>
      </c>
      <c r="C6" s="50">
        <v>8817.87</v>
      </c>
      <c r="D6" s="50">
        <f t="shared" si="0"/>
        <v>100</v>
      </c>
    </row>
    <row r="7" spans="1:4" ht="12.75">
      <c r="A7" s="4" t="s">
        <v>386</v>
      </c>
      <c r="B7" s="50">
        <v>8817.87</v>
      </c>
      <c r="C7" s="50">
        <v>13505.4</v>
      </c>
      <c r="D7" s="50">
        <f t="shared" si="0"/>
        <v>65.29143897996357</v>
      </c>
    </row>
    <row r="8" spans="1:4" ht="12.75">
      <c r="A8" s="4" t="s">
        <v>74</v>
      </c>
      <c r="B8" s="50">
        <v>8817.87</v>
      </c>
      <c r="C8" s="50">
        <v>11992.5</v>
      </c>
      <c r="D8" s="50">
        <f t="shared" si="0"/>
        <v>73.52820512820514</v>
      </c>
    </row>
    <row r="9" ht="12.75">
      <c r="B9" s="9"/>
    </row>
    <row r="10" ht="12.75">
      <c r="B10" s="9"/>
    </row>
    <row r="11" spans="2:3" ht="12.75">
      <c r="B11" s="9"/>
      <c r="C11" s="142">
        <v>37234</v>
      </c>
    </row>
    <row r="12" ht="12.75">
      <c r="C12" s="142">
        <v>5535</v>
      </c>
    </row>
    <row r="13" ht="12.75">
      <c r="C13" s="142">
        <v>650</v>
      </c>
    </row>
    <row r="14" spans="2:6" ht="12.75">
      <c r="B14" s="9"/>
      <c r="C14" s="9">
        <v>246</v>
      </c>
      <c r="D14" s="9"/>
      <c r="E14" s="9"/>
      <c r="F14" s="9"/>
    </row>
    <row r="15" spans="2:6" ht="12.75">
      <c r="B15" s="9"/>
      <c r="C15" s="9">
        <f>SUM(C11:C14)</f>
        <v>43665</v>
      </c>
      <c r="D15" s="9"/>
      <c r="E15" s="9"/>
      <c r="F15" s="9"/>
    </row>
    <row r="16" spans="2:6" ht="12.75">
      <c r="B16" s="9"/>
      <c r="C16" s="9"/>
      <c r="D16" s="9"/>
      <c r="E16" s="9"/>
      <c r="F16" s="9"/>
    </row>
    <row r="17" spans="1:6" ht="12.75">
      <c r="A17" s="9"/>
      <c r="B17" s="9"/>
      <c r="C17" s="9"/>
      <c r="D17" s="9"/>
      <c r="E17" s="9"/>
      <c r="F17" s="9"/>
    </row>
    <row r="18" spans="2:6" ht="12.75">
      <c r="B18" s="9"/>
      <c r="C18" s="9"/>
      <c r="D18" s="9"/>
      <c r="E18" s="9"/>
      <c r="F18" s="9"/>
    </row>
    <row r="19" spans="2:6" ht="12.75">
      <c r="B19" s="9"/>
      <c r="C19" s="9"/>
      <c r="D19" s="9"/>
      <c r="E19" s="9"/>
      <c r="F19" s="9"/>
    </row>
    <row r="20" spans="2:7" ht="12.75">
      <c r="B20" s="9"/>
      <c r="C20" s="9"/>
      <c r="D20" s="9"/>
      <c r="E20" s="9"/>
      <c r="F20" s="9"/>
      <c r="G20" s="9"/>
    </row>
    <row r="21" spans="2:5" ht="12.75">
      <c r="B21" s="9"/>
      <c r="C21" s="9"/>
      <c r="D21" s="9"/>
      <c r="E21" s="9"/>
    </row>
    <row r="22" spans="2:6" ht="12.75">
      <c r="B22" s="9"/>
      <c r="C22" s="9"/>
      <c r="D22" s="9"/>
      <c r="E22" s="9"/>
      <c r="F22" s="9"/>
    </row>
    <row r="23" spans="2:6" ht="12.75">
      <c r="B23" s="9"/>
      <c r="C23" s="9"/>
      <c r="D23" s="9"/>
      <c r="E23" s="9"/>
      <c r="F23" s="9"/>
    </row>
    <row r="24" spans="2:6" ht="12.75">
      <c r="B24" s="9"/>
      <c r="C24" s="9"/>
      <c r="D24" s="9"/>
      <c r="E24" s="9"/>
      <c r="F24" s="9"/>
    </row>
    <row r="25" spans="2:6" ht="12.75">
      <c r="B25" s="9"/>
      <c r="C25" s="9"/>
      <c r="D25" s="9"/>
      <c r="E25" s="9"/>
      <c r="F25" s="9"/>
    </row>
    <row r="26" spans="2:6" ht="12.75">
      <c r="B26" s="9"/>
      <c r="C26" s="9"/>
      <c r="D26" s="9"/>
      <c r="E26" s="9"/>
      <c r="F26" s="9"/>
    </row>
    <row r="27" spans="2:6" ht="12.75">
      <c r="B27" s="9"/>
      <c r="C27" s="9"/>
      <c r="D27" s="9"/>
      <c r="E27" s="9"/>
      <c r="F27" s="9"/>
    </row>
    <row r="28" spans="2:6" ht="12.75">
      <c r="B28" s="9"/>
      <c r="C28" s="9"/>
      <c r="D28" s="9"/>
      <c r="E28" s="9"/>
      <c r="F28" s="9"/>
    </row>
    <row r="29" spans="2:6" ht="12.75">
      <c r="B29" s="9"/>
      <c r="C29" s="9"/>
      <c r="D29" s="9"/>
      <c r="E29" s="9"/>
      <c r="F29" s="9"/>
    </row>
    <row r="30" spans="2:6" ht="12.75">
      <c r="B30" s="9"/>
      <c r="C30" s="9"/>
      <c r="D30" s="9"/>
      <c r="E30" s="9"/>
      <c r="F30" s="9"/>
    </row>
    <row r="31" spans="2:6" ht="12.75">
      <c r="B31" s="9"/>
      <c r="C31" s="9"/>
      <c r="D31" s="9"/>
      <c r="E31" s="9"/>
      <c r="F31" s="9"/>
    </row>
    <row r="32" spans="2:6" ht="12.75">
      <c r="B32" s="9"/>
      <c r="C32" s="9"/>
      <c r="D32" s="9"/>
      <c r="E32" s="9"/>
      <c r="F32" s="9"/>
    </row>
    <row r="33" spans="2:6" ht="12.75">
      <c r="B33" s="9"/>
      <c r="C33" s="9"/>
      <c r="D33" s="9"/>
      <c r="E33" s="9"/>
      <c r="F33" s="9"/>
    </row>
    <row r="34" spans="2:6" ht="12.75">
      <c r="B34" s="9"/>
      <c r="C34" s="9"/>
      <c r="D34" s="9"/>
      <c r="E34" s="9"/>
      <c r="F34" s="9"/>
    </row>
    <row r="35" spans="2:6" ht="12.75">
      <c r="B35" s="9"/>
      <c r="C35" s="9"/>
      <c r="D35" s="9"/>
      <c r="E35" s="9"/>
      <c r="F35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7.28125" style="0" customWidth="1"/>
    <col min="2" max="9" width="12.140625" style="0" customWidth="1"/>
  </cols>
  <sheetData>
    <row r="1" spans="2:9" ht="24.75" customHeight="1">
      <c r="B1" s="189" t="s">
        <v>402</v>
      </c>
      <c r="C1" s="190"/>
      <c r="D1" s="189" t="s">
        <v>399</v>
      </c>
      <c r="E1" s="190"/>
      <c r="F1" s="189" t="s">
        <v>400</v>
      </c>
      <c r="G1" s="190"/>
      <c r="H1" s="189" t="s">
        <v>401</v>
      </c>
      <c r="I1" s="190"/>
    </row>
    <row r="2" spans="1:9" ht="12.75">
      <c r="A2" s="4" t="s">
        <v>378</v>
      </c>
      <c r="B2" s="49" t="s">
        <v>329</v>
      </c>
      <c r="C2" s="4" t="s">
        <v>387</v>
      </c>
      <c r="D2" s="49" t="s">
        <v>329</v>
      </c>
      <c r="E2" s="4" t="s">
        <v>387</v>
      </c>
      <c r="F2" s="49" t="s">
        <v>329</v>
      </c>
      <c r="G2" s="4" t="s">
        <v>387</v>
      </c>
      <c r="H2" s="49" t="s">
        <v>329</v>
      </c>
      <c r="I2" s="4" t="s">
        <v>387</v>
      </c>
    </row>
    <row r="3" spans="1:9" ht="51.75" customHeight="1">
      <c r="A3" s="144" t="s">
        <v>404</v>
      </c>
      <c r="B3" s="143">
        <v>75127.5</v>
      </c>
      <c r="C3" s="143">
        <f>B3*1.23</f>
        <v>92406.825</v>
      </c>
      <c r="D3" s="143">
        <v>840</v>
      </c>
      <c r="E3" s="143">
        <f aca="true" t="shared" si="0" ref="E3:E17">D3*1.23</f>
        <v>1033.2</v>
      </c>
      <c r="F3" s="143">
        <v>840</v>
      </c>
      <c r="G3" s="143">
        <f aca="true" t="shared" si="1" ref="G3:G17">F3*1.23</f>
        <v>1033.2</v>
      </c>
      <c r="H3" s="143">
        <v>840</v>
      </c>
      <c r="I3" s="143">
        <f>H3*1.23</f>
        <v>1033.2</v>
      </c>
    </row>
    <row r="4" spans="1:9" ht="52.5" customHeight="1">
      <c r="A4" s="144" t="s">
        <v>388</v>
      </c>
      <c r="B4" s="143"/>
      <c r="C4" s="143">
        <f aca="true" t="shared" si="2" ref="C4:C17">B4*1.23</f>
        <v>0</v>
      </c>
      <c r="D4" s="143"/>
      <c r="E4" s="143">
        <f t="shared" si="0"/>
        <v>0</v>
      </c>
      <c r="F4" s="143"/>
      <c r="G4" s="143">
        <f t="shared" si="1"/>
        <v>0</v>
      </c>
      <c r="H4" s="143"/>
      <c r="I4" s="143">
        <f aca="true" t="shared" si="3" ref="I4:I17">H4*1.23</f>
        <v>0</v>
      </c>
    </row>
    <row r="5" spans="1:9" s="1" customFormat="1" ht="41.25" customHeight="1">
      <c r="A5" s="144" t="s">
        <v>389</v>
      </c>
      <c r="B5" s="143"/>
      <c r="C5" s="143">
        <f t="shared" si="2"/>
        <v>0</v>
      </c>
      <c r="D5" s="143"/>
      <c r="E5" s="143">
        <f t="shared" si="0"/>
        <v>0</v>
      </c>
      <c r="F5" s="143"/>
      <c r="G5" s="143">
        <f t="shared" si="1"/>
        <v>0</v>
      </c>
      <c r="H5" s="143"/>
      <c r="I5" s="143">
        <f t="shared" si="3"/>
        <v>0</v>
      </c>
    </row>
    <row r="6" spans="1:9" ht="51.75" customHeight="1">
      <c r="A6" s="145" t="s">
        <v>390</v>
      </c>
      <c r="B6" s="143">
        <v>110187</v>
      </c>
      <c r="C6" s="143">
        <f t="shared" si="2"/>
        <v>135530.01</v>
      </c>
      <c r="D6" s="143">
        <v>4800</v>
      </c>
      <c r="E6" s="143">
        <f t="shared" si="0"/>
        <v>5904</v>
      </c>
      <c r="F6" s="143">
        <v>4800</v>
      </c>
      <c r="G6" s="143">
        <f t="shared" si="1"/>
        <v>5904</v>
      </c>
      <c r="H6" s="143"/>
      <c r="I6" s="143"/>
    </row>
    <row r="7" spans="1:9" ht="73.5" customHeight="1">
      <c r="A7" s="145" t="s">
        <v>406</v>
      </c>
      <c r="B7" s="143">
        <v>88950.96</v>
      </c>
      <c r="C7" s="143">
        <f t="shared" si="2"/>
        <v>109409.6808</v>
      </c>
      <c r="D7" s="143"/>
      <c r="E7" s="143"/>
      <c r="F7" s="143"/>
      <c r="G7" s="143"/>
      <c r="H7" s="143"/>
      <c r="I7" s="143"/>
    </row>
    <row r="8" spans="1:9" ht="36">
      <c r="A8" s="144" t="s">
        <v>405</v>
      </c>
      <c r="B8" s="143">
        <v>88149.6</v>
      </c>
      <c r="C8" s="143">
        <f t="shared" si="2"/>
        <v>108424.008</v>
      </c>
      <c r="D8" s="143">
        <v>600</v>
      </c>
      <c r="E8" s="143">
        <f t="shared" si="0"/>
        <v>738</v>
      </c>
      <c r="F8" s="143"/>
      <c r="G8" s="143"/>
      <c r="H8" s="143"/>
      <c r="I8" s="143"/>
    </row>
    <row r="9" spans="1:9" ht="52.5" customHeight="1">
      <c r="A9" s="144" t="s">
        <v>403</v>
      </c>
      <c r="B9" s="143"/>
      <c r="C9" s="143">
        <f t="shared" si="2"/>
        <v>0</v>
      </c>
      <c r="D9" s="143"/>
      <c r="E9" s="143">
        <f t="shared" si="0"/>
        <v>0</v>
      </c>
      <c r="F9" s="143"/>
      <c r="G9" s="143">
        <f t="shared" si="1"/>
        <v>0</v>
      </c>
      <c r="H9" s="143"/>
      <c r="I9" s="143">
        <f t="shared" si="3"/>
        <v>0</v>
      </c>
    </row>
    <row r="10" spans="1:9" ht="36">
      <c r="A10" s="144" t="s">
        <v>391</v>
      </c>
      <c r="B10" s="143"/>
      <c r="C10" s="143">
        <f t="shared" si="2"/>
        <v>0</v>
      </c>
      <c r="D10" s="143"/>
      <c r="E10" s="143">
        <f t="shared" si="0"/>
        <v>0</v>
      </c>
      <c r="F10" s="143"/>
      <c r="G10" s="143">
        <f t="shared" si="1"/>
        <v>0</v>
      </c>
      <c r="H10" s="143"/>
      <c r="I10" s="143">
        <f t="shared" si="3"/>
        <v>0</v>
      </c>
    </row>
    <row r="11" spans="1:9" ht="48">
      <c r="A11" s="144" t="s">
        <v>392</v>
      </c>
      <c r="B11" s="143">
        <v>120204</v>
      </c>
      <c r="C11" s="143">
        <f t="shared" si="2"/>
        <v>147850.91999999998</v>
      </c>
      <c r="D11" s="143">
        <v>12000</v>
      </c>
      <c r="E11" s="143">
        <f t="shared" si="0"/>
        <v>14760</v>
      </c>
      <c r="F11" s="143">
        <v>12000</v>
      </c>
      <c r="G11" s="143">
        <f t="shared" si="1"/>
        <v>14760</v>
      </c>
      <c r="H11" s="143">
        <v>12000</v>
      </c>
      <c r="I11" s="143">
        <f t="shared" si="3"/>
        <v>14760</v>
      </c>
    </row>
    <row r="12" spans="1:9" ht="36">
      <c r="A12" s="144" t="s">
        <v>393</v>
      </c>
      <c r="B12" s="143">
        <v>83942.46</v>
      </c>
      <c r="C12" s="143">
        <f t="shared" si="2"/>
        <v>103249.2258</v>
      </c>
      <c r="D12" s="143">
        <v>1200</v>
      </c>
      <c r="E12" s="143">
        <f t="shared" si="0"/>
        <v>1476</v>
      </c>
      <c r="F12" s="143"/>
      <c r="G12" s="143"/>
      <c r="H12" s="143"/>
      <c r="I12" s="143"/>
    </row>
    <row r="13" spans="1:9" ht="48">
      <c r="A13" s="144" t="s">
        <v>394</v>
      </c>
      <c r="B13" s="143"/>
      <c r="C13" s="143">
        <f t="shared" si="2"/>
        <v>0</v>
      </c>
      <c r="D13" s="143"/>
      <c r="E13" s="143">
        <f t="shared" si="0"/>
        <v>0</v>
      </c>
      <c r="F13" s="143"/>
      <c r="G13" s="143">
        <f t="shared" si="1"/>
        <v>0</v>
      </c>
      <c r="H13" s="143"/>
      <c r="I13" s="143">
        <f t="shared" si="3"/>
        <v>0</v>
      </c>
    </row>
    <row r="14" spans="1:9" ht="36">
      <c r="A14" s="144" t="s">
        <v>395</v>
      </c>
      <c r="B14" s="143"/>
      <c r="C14" s="143">
        <f t="shared" si="2"/>
        <v>0</v>
      </c>
      <c r="D14" s="143"/>
      <c r="E14" s="143">
        <f t="shared" si="0"/>
        <v>0</v>
      </c>
      <c r="F14" s="143"/>
      <c r="G14" s="143">
        <f t="shared" si="1"/>
        <v>0</v>
      </c>
      <c r="H14" s="143"/>
      <c r="I14" s="143">
        <f t="shared" si="3"/>
        <v>0</v>
      </c>
    </row>
    <row r="15" spans="1:9" ht="60">
      <c r="A15" s="144" t="s">
        <v>396</v>
      </c>
      <c r="B15" s="143"/>
      <c r="C15" s="143">
        <f t="shared" si="2"/>
        <v>0</v>
      </c>
      <c r="D15" s="143"/>
      <c r="E15" s="143">
        <f t="shared" si="0"/>
        <v>0</v>
      </c>
      <c r="F15" s="143"/>
      <c r="G15" s="143">
        <f t="shared" si="1"/>
        <v>0</v>
      </c>
      <c r="H15" s="143"/>
      <c r="I15" s="143">
        <f t="shared" si="3"/>
        <v>0</v>
      </c>
    </row>
    <row r="16" spans="1:9" ht="48">
      <c r="A16" s="144" t="s">
        <v>397</v>
      </c>
      <c r="B16" s="143">
        <v>90153</v>
      </c>
      <c r="C16" s="143">
        <f t="shared" si="2"/>
        <v>110888.19</v>
      </c>
      <c r="D16" s="143">
        <v>1080</v>
      </c>
      <c r="E16" s="143">
        <f t="shared" si="0"/>
        <v>1328.4</v>
      </c>
      <c r="F16" s="143">
        <v>1080</v>
      </c>
      <c r="G16" s="143">
        <f t="shared" si="1"/>
        <v>1328.4</v>
      </c>
      <c r="H16" s="143">
        <v>1080</v>
      </c>
      <c r="I16" s="143">
        <f t="shared" si="3"/>
        <v>1328.4</v>
      </c>
    </row>
    <row r="17" spans="1:9" ht="36">
      <c r="A17" s="144" t="s">
        <v>398</v>
      </c>
      <c r="B17" s="143"/>
      <c r="C17" s="143">
        <f t="shared" si="2"/>
        <v>0</v>
      </c>
      <c r="D17" s="143"/>
      <c r="E17" s="143">
        <f t="shared" si="0"/>
        <v>0</v>
      </c>
      <c r="F17" s="143"/>
      <c r="G17" s="143">
        <f t="shared" si="1"/>
        <v>0</v>
      </c>
      <c r="H17" s="143"/>
      <c r="I17" s="143">
        <f t="shared" si="3"/>
        <v>0</v>
      </c>
    </row>
    <row r="18" spans="2:9" ht="12.75">
      <c r="B18" s="9"/>
      <c r="C18" s="9"/>
      <c r="D18" s="9"/>
      <c r="E18" s="9"/>
      <c r="F18" s="9"/>
      <c r="G18" s="9"/>
      <c r="H18" s="9"/>
      <c r="I18" s="9"/>
    </row>
    <row r="19" spans="2:9" ht="12.75">
      <c r="B19" s="9"/>
      <c r="C19" s="9"/>
      <c r="D19" s="9"/>
      <c r="E19" s="9"/>
      <c r="F19" s="9"/>
      <c r="G19" s="9"/>
      <c r="H19" s="9"/>
      <c r="I19" s="9"/>
    </row>
    <row r="20" spans="2:9" ht="12.75">
      <c r="B20" s="9"/>
      <c r="C20" s="9"/>
      <c r="D20" s="9"/>
      <c r="E20" s="9"/>
      <c r="F20" s="9"/>
      <c r="G20" s="9"/>
      <c r="H20" s="9"/>
      <c r="I20" s="9"/>
    </row>
    <row r="21" spans="2:9" ht="12.75">
      <c r="B21" s="9"/>
      <c r="C21" s="9"/>
      <c r="D21" s="9"/>
      <c r="E21" s="9"/>
      <c r="F21" s="9"/>
      <c r="G21" s="9"/>
      <c r="H21" s="9"/>
      <c r="I21" s="9"/>
    </row>
    <row r="22" spans="2:9" ht="12.75">
      <c r="B22" s="9"/>
      <c r="C22" s="9"/>
      <c r="D22" s="9"/>
      <c r="E22" s="9"/>
      <c r="F22" s="9"/>
      <c r="G22" s="9"/>
      <c r="H22" s="9"/>
      <c r="I22" s="9"/>
    </row>
    <row r="23" spans="2:9" ht="12.75">
      <c r="B23" s="9"/>
      <c r="C23" s="9"/>
      <c r="D23" s="9"/>
      <c r="E23" s="9"/>
      <c r="F23" s="9"/>
      <c r="G23" s="9"/>
      <c r="H23" s="9"/>
      <c r="I23" s="9"/>
    </row>
    <row r="24" spans="2:9" ht="12.75">
      <c r="B24" s="9"/>
      <c r="C24" s="9"/>
      <c r="D24" s="9"/>
      <c r="E24" s="9"/>
      <c r="F24" s="9"/>
      <c r="G24" s="9"/>
      <c r="H24" s="9"/>
      <c r="I24" s="9"/>
    </row>
    <row r="25" spans="2:9" ht="12.75">
      <c r="B25" s="9"/>
      <c r="C25" s="9"/>
      <c r="D25" s="9"/>
      <c r="E25" s="9"/>
      <c r="F25" s="9"/>
      <c r="G25" s="9"/>
      <c r="H25" s="9"/>
      <c r="I25" s="9"/>
    </row>
    <row r="26" spans="2:9" ht="12.75">
      <c r="B26" s="9"/>
      <c r="C26" s="9"/>
      <c r="D26" s="9"/>
      <c r="E26" s="9"/>
      <c r="F26" s="9"/>
      <c r="G26" s="9"/>
      <c r="H26" s="9"/>
      <c r="I26" s="9"/>
    </row>
    <row r="27" spans="2:9" ht="12.75">
      <c r="B27" s="9"/>
      <c r="C27" s="9"/>
      <c r="D27" s="9"/>
      <c r="E27" s="9"/>
      <c r="F27" s="9"/>
      <c r="G27" s="9"/>
      <c r="H27" s="9"/>
      <c r="I27" s="9"/>
    </row>
    <row r="28" spans="2:9" ht="12.75">
      <c r="B28" s="9"/>
      <c r="C28" s="9"/>
      <c r="D28" s="9"/>
      <c r="E28" s="9"/>
      <c r="F28" s="9"/>
      <c r="G28" s="9"/>
      <c r="H28" s="9"/>
      <c r="I28" s="9"/>
    </row>
    <row r="29" spans="2:9" ht="12.75">
      <c r="B29" s="9"/>
      <c r="C29" s="9"/>
      <c r="D29" s="9"/>
      <c r="E29" s="9"/>
      <c r="F29" s="9"/>
      <c r="G29" s="9"/>
      <c r="H29" s="9"/>
      <c r="I29" s="9"/>
    </row>
    <row r="30" spans="2:9" ht="12.75">
      <c r="B30" s="9"/>
      <c r="C30" s="9"/>
      <c r="D30" s="9"/>
      <c r="E30" s="9"/>
      <c r="F30" s="9"/>
      <c r="G30" s="9"/>
      <c r="H30" s="9"/>
      <c r="I30" s="9"/>
    </row>
    <row r="31" spans="2:9" ht="12.75">
      <c r="B31" s="9"/>
      <c r="C31" s="9"/>
      <c r="D31" s="9"/>
      <c r="E31" s="9"/>
      <c r="F31" s="9"/>
      <c r="G31" s="9"/>
      <c r="H31" s="9"/>
      <c r="I31" s="9"/>
    </row>
    <row r="32" spans="2:9" ht="12.75">
      <c r="B32" s="9"/>
      <c r="C32" s="9"/>
      <c r="D32" s="9"/>
      <c r="E32" s="9"/>
      <c r="F32" s="9"/>
      <c r="G32" s="9"/>
      <c r="H32" s="9"/>
      <c r="I32" s="9"/>
    </row>
    <row r="33" spans="2:9" ht="12.75">
      <c r="B33" s="9"/>
      <c r="C33" s="9"/>
      <c r="D33" s="9"/>
      <c r="E33" s="9"/>
      <c r="F33" s="9"/>
      <c r="G33" s="9"/>
      <c r="H33" s="9"/>
      <c r="I33" s="9"/>
    </row>
    <row r="34" spans="2:9" ht="12.75">
      <c r="B34" s="9"/>
      <c r="C34" s="9"/>
      <c r="D34" s="9"/>
      <c r="E34" s="9"/>
      <c r="F34" s="9"/>
      <c r="G34" s="9"/>
      <c r="H34" s="9"/>
      <c r="I34" s="9"/>
    </row>
    <row r="35" spans="2:9" ht="12.75">
      <c r="B35" s="9"/>
      <c r="C35" s="9"/>
      <c r="D35" s="9"/>
      <c r="E35" s="9"/>
      <c r="F35" s="9"/>
      <c r="G35" s="9"/>
      <c r="H35" s="9"/>
      <c r="I35" s="9"/>
    </row>
  </sheetData>
  <sheetProtection/>
  <mergeCells count="4">
    <mergeCell ref="B1:C1"/>
    <mergeCell ref="D1:E1"/>
    <mergeCell ref="F1:G1"/>
    <mergeCell ref="H1:I1"/>
  </mergeCells>
  <printOptions/>
  <pageMargins left="0.7874015748031497" right="0.7874015748031497" top="0.5905511811023623" bottom="0.3937007874015748" header="0.11811023622047245" footer="0.1181102362204724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23" sqref="A23:IV26"/>
    </sheetView>
  </sheetViews>
  <sheetFormatPr defaultColWidth="9.140625" defaultRowHeight="12.75"/>
  <cols>
    <col min="1" max="1" width="27.28125" style="0" customWidth="1"/>
    <col min="2" max="3" width="12.140625" style="0" customWidth="1"/>
    <col min="4" max="4" width="9.7109375" style="0" customWidth="1"/>
    <col min="5" max="5" width="10.421875" style="0" customWidth="1"/>
    <col min="6" max="6" width="10.00390625" style="0" customWidth="1"/>
    <col min="7" max="7" width="10.140625" style="0" customWidth="1"/>
    <col min="8" max="8" width="10.28125" style="0" customWidth="1"/>
    <col min="9" max="9" width="10.00390625" style="0" customWidth="1"/>
    <col min="10" max="10" width="8.8515625" style="0" customWidth="1"/>
  </cols>
  <sheetData>
    <row r="1" spans="2:9" ht="24.75" customHeight="1">
      <c r="B1" s="189" t="s">
        <v>402</v>
      </c>
      <c r="C1" s="190"/>
      <c r="D1" s="189" t="s">
        <v>399</v>
      </c>
      <c r="E1" s="190"/>
      <c r="F1" s="189" t="s">
        <v>400</v>
      </c>
      <c r="G1" s="190"/>
      <c r="H1" s="189" t="s">
        <v>401</v>
      </c>
      <c r="I1" s="190"/>
    </row>
    <row r="2" spans="1:9" ht="12.75">
      <c r="A2" s="4" t="s">
        <v>378</v>
      </c>
      <c r="B2" s="49" t="s">
        <v>329</v>
      </c>
      <c r="C2" s="4" t="s">
        <v>387</v>
      </c>
      <c r="D2" s="49" t="s">
        <v>329</v>
      </c>
      <c r="E2" s="4" t="s">
        <v>387</v>
      </c>
      <c r="F2" s="49" t="s">
        <v>329</v>
      </c>
      <c r="G2" s="4" t="s">
        <v>387</v>
      </c>
      <c r="H2" s="49" t="s">
        <v>329</v>
      </c>
      <c r="I2" s="4" t="s">
        <v>387</v>
      </c>
    </row>
    <row r="3" spans="1:9" ht="51.75" customHeight="1">
      <c r="A3" s="144" t="s">
        <v>404</v>
      </c>
      <c r="B3" s="143">
        <v>75127.5</v>
      </c>
      <c r="C3" s="143">
        <f aca="true" t="shared" si="0" ref="C3:C9">B3*1.23</f>
        <v>92406.825</v>
      </c>
      <c r="D3" s="143">
        <v>840</v>
      </c>
      <c r="E3" s="143">
        <f>D3*1.23</f>
        <v>1033.2</v>
      </c>
      <c r="F3" s="143">
        <v>840</v>
      </c>
      <c r="G3" s="143">
        <f>F3*1.23</f>
        <v>1033.2</v>
      </c>
      <c r="H3" s="143">
        <v>840</v>
      </c>
      <c r="I3" s="143">
        <f>H3*1.23</f>
        <v>1033.2</v>
      </c>
    </row>
    <row r="4" spans="1:9" ht="51.75" customHeight="1">
      <c r="A4" s="145" t="s">
        <v>390</v>
      </c>
      <c r="B4" s="143">
        <v>110187</v>
      </c>
      <c r="C4" s="143">
        <f t="shared" si="0"/>
        <v>135530.01</v>
      </c>
      <c r="D4" s="143">
        <v>4800</v>
      </c>
      <c r="E4" s="143">
        <f>D4*1.23</f>
        <v>5904</v>
      </c>
      <c r="F4" s="143">
        <v>4800</v>
      </c>
      <c r="G4" s="143">
        <f>F4*1.23</f>
        <v>5904</v>
      </c>
      <c r="H4" s="143"/>
      <c r="I4" s="143"/>
    </row>
    <row r="5" spans="1:9" ht="73.5" customHeight="1">
      <c r="A5" s="145" t="s">
        <v>406</v>
      </c>
      <c r="B5" s="143">
        <v>88950.96</v>
      </c>
      <c r="C5" s="143">
        <f t="shared" si="0"/>
        <v>109409.6808</v>
      </c>
      <c r="D5" s="143"/>
      <c r="E5" s="143"/>
      <c r="F5" s="143"/>
      <c r="G5" s="143"/>
      <c r="H5" s="143"/>
      <c r="I5" s="143"/>
    </row>
    <row r="6" spans="1:9" ht="36">
      <c r="A6" s="144" t="s">
        <v>405</v>
      </c>
      <c r="B6" s="143">
        <v>88149.6</v>
      </c>
      <c r="C6" s="143">
        <f t="shared" si="0"/>
        <v>108424.008</v>
      </c>
      <c r="D6" s="143">
        <v>600</v>
      </c>
      <c r="E6" s="143">
        <f>D6*1.23</f>
        <v>738</v>
      </c>
      <c r="F6" s="143"/>
      <c r="G6" s="143"/>
      <c r="H6" s="143"/>
      <c r="I6" s="143"/>
    </row>
    <row r="7" spans="1:9" ht="48">
      <c r="A7" s="144" t="s">
        <v>392</v>
      </c>
      <c r="B7" s="143">
        <v>120204</v>
      </c>
      <c r="C7" s="143">
        <f t="shared" si="0"/>
        <v>147850.91999999998</v>
      </c>
      <c r="D7" s="143">
        <v>12000</v>
      </c>
      <c r="E7" s="143">
        <f>D7*1.23</f>
        <v>14760</v>
      </c>
      <c r="F7" s="143">
        <v>12000</v>
      </c>
      <c r="G7" s="143">
        <f>F7*1.23</f>
        <v>14760</v>
      </c>
      <c r="H7" s="143">
        <v>12000</v>
      </c>
      <c r="I7" s="143">
        <f>H7*1.23</f>
        <v>14760</v>
      </c>
    </row>
    <row r="8" spans="1:9" ht="36">
      <c r="A8" s="144" t="s">
        <v>393</v>
      </c>
      <c r="B8" s="143">
        <v>83942.46</v>
      </c>
      <c r="C8" s="143">
        <f t="shared" si="0"/>
        <v>103249.2258</v>
      </c>
      <c r="D8" s="143">
        <v>1200</v>
      </c>
      <c r="E8" s="143">
        <f>D8*1.23</f>
        <v>1476</v>
      </c>
      <c r="F8" s="143"/>
      <c r="G8" s="143"/>
      <c r="H8" s="143"/>
      <c r="I8" s="143"/>
    </row>
    <row r="9" spans="1:9" ht="48">
      <c r="A9" s="144" t="s">
        <v>397</v>
      </c>
      <c r="B9" s="143">
        <v>90153</v>
      </c>
      <c r="C9" s="143">
        <f t="shared" si="0"/>
        <v>110888.19</v>
      </c>
      <c r="D9" s="143">
        <v>1080</v>
      </c>
      <c r="E9" s="143">
        <f>D9*1.23</f>
        <v>1328.4</v>
      </c>
      <c r="F9" s="143">
        <v>1080</v>
      </c>
      <c r="G9" s="143">
        <f>F9*1.23</f>
        <v>1328.4</v>
      </c>
      <c r="H9" s="143">
        <v>1080</v>
      </c>
      <c r="I9" s="143">
        <f>H9*1.23</f>
        <v>1328.4</v>
      </c>
    </row>
    <row r="10" spans="2:9" ht="21.75" customHeight="1">
      <c r="B10" s="11" t="s">
        <v>80</v>
      </c>
      <c r="C10" s="11">
        <f>SUM(C3:C9)/7</f>
        <v>115394.12280000001</v>
      </c>
      <c r="D10" s="11" t="s">
        <v>80</v>
      </c>
      <c r="E10" s="11">
        <f>SUM(E3:E9)/6</f>
        <v>4206.6</v>
      </c>
      <c r="F10" s="11" t="s">
        <v>80</v>
      </c>
      <c r="G10" s="11">
        <f>SUM(G3:G9)/4</f>
        <v>5756.400000000001</v>
      </c>
      <c r="H10" s="11" t="s">
        <v>80</v>
      </c>
      <c r="I10" s="11">
        <f>SUM(I3:I9)/3</f>
        <v>5707.200000000001</v>
      </c>
    </row>
    <row r="11" spans="2:9" ht="12.75">
      <c r="B11" s="9"/>
      <c r="C11" s="9"/>
      <c r="D11" s="9"/>
      <c r="E11" s="9">
        <f>(E3+E4+E6+E8+E9)/5</f>
        <v>2095.92</v>
      </c>
      <c r="F11" s="9"/>
      <c r="G11" s="9">
        <f>(G3+G4+G9)/3</f>
        <v>2755.2000000000003</v>
      </c>
      <c r="H11" s="9"/>
      <c r="I11" s="9">
        <f>(I3+I9)/2</f>
        <v>1180.8000000000002</v>
      </c>
    </row>
    <row r="12" spans="2:9" ht="12.75">
      <c r="B12" s="9"/>
      <c r="C12" s="9"/>
      <c r="D12" s="147">
        <v>2011</v>
      </c>
      <c r="E12" s="9">
        <v>1000</v>
      </c>
      <c r="F12" s="9"/>
      <c r="G12" s="9">
        <v>1440</v>
      </c>
      <c r="H12" s="9"/>
      <c r="I12" s="9">
        <v>1200</v>
      </c>
    </row>
    <row r="13" spans="2:9" ht="12.75">
      <c r="B13" s="9"/>
      <c r="C13" s="9"/>
      <c r="D13" s="9"/>
      <c r="E13" s="9"/>
      <c r="F13" s="9"/>
      <c r="G13" s="9"/>
      <c r="H13" s="9"/>
      <c r="I13" s="9"/>
    </row>
    <row r="14" spans="2:9" ht="12.75">
      <c r="B14" s="9"/>
      <c r="C14" s="9"/>
      <c r="D14" s="9"/>
      <c r="E14" s="9"/>
      <c r="F14" s="9"/>
      <c r="G14" s="9"/>
      <c r="H14" s="9"/>
      <c r="I14" s="9"/>
    </row>
    <row r="15" spans="1:9" ht="12.75">
      <c r="A15" s="2"/>
      <c r="B15" s="3"/>
      <c r="C15" s="3"/>
      <c r="D15" s="3"/>
      <c r="E15" s="50" t="s">
        <v>49</v>
      </c>
      <c r="F15" s="50" t="s">
        <v>131</v>
      </c>
      <c r="G15" s="9"/>
      <c r="H15" s="9"/>
      <c r="I15" s="9"/>
    </row>
    <row r="16" spans="1:9" ht="12.75">
      <c r="A16" s="148" t="s">
        <v>292</v>
      </c>
      <c r="B16" s="3" t="s">
        <v>409</v>
      </c>
      <c r="C16" s="3">
        <f>D16/1.23</f>
        <v>1704</v>
      </c>
      <c r="D16" s="3">
        <v>2095.92</v>
      </c>
      <c r="E16" s="3">
        <f>C16/4.0196</f>
        <v>423.9227783859091</v>
      </c>
      <c r="F16" s="3">
        <f>D16-C16</f>
        <v>391.9200000000001</v>
      </c>
      <c r="G16" s="9"/>
      <c r="H16" s="9"/>
      <c r="I16" s="9"/>
    </row>
    <row r="17" spans="1:9" ht="12.75">
      <c r="A17" s="148" t="s">
        <v>295</v>
      </c>
      <c r="B17" s="3" t="s">
        <v>410</v>
      </c>
      <c r="C17" s="3">
        <v>1800</v>
      </c>
      <c r="D17" s="3">
        <v>2214</v>
      </c>
      <c r="E17" s="3">
        <f>C17/4.0196</f>
        <v>447.8057518161011</v>
      </c>
      <c r="F17" s="3">
        <f>D17-C17</f>
        <v>414</v>
      </c>
      <c r="G17" s="9"/>
      <c r="H17" s="9"/>
      <c r="I17" s="9"/>
    </row>
    <row r="18" spans="1:9" ht="12.75">
      <c r="A18" s="148" t="s">
        <v>296</v>
      </c>
      <c r="B18" s="3" t="s">
        <v>411</v>
      </c>
      <c r="C18" s="3">
        <f>D18/1.23</f>
        <v>2240</v>
      </c>
      <c r="D18" s="3">
        <v>2755.2</v>
      </c>
      <c r="E18" s="3">
        <f>C18/4.0196</f>
        <v>557.2693800378148</v>
      </c>
      <c r="F18" s="3">
        <f>D18-C18</f>
        <v>515.1999999999998</v>
      </c>
      <c r="G18" s="9"/>
      <c r="H18" s="9"/>
      <c r="I18" s="9"/>
    </row>
    <row r="19" spans="1:9" ht="12.75">
      <c r="A19" s="148" t="s">
        <v>293</v>
      </c>
      <c r="B19" s="3" t="s">
        <v>412</v>
      </c>
      <c r="C19" s="3">
        <f>D19/1.23</f>
        <v>960</v>
      </c>
      <c r="D19" s="3">
        <v>1180.8</v>
      </c>
      <c r="E19" s="3">
        <f>C19/4.0196</f>
        <v>238.8297343019206</v>
      </c>
      <c r="F19" s="3">
        <f>D19-C19</f>
        <v>220.79999999999995</v>
      </c>
      <c r="G19" s="9"/>
      <c r="H19" s="9"/>
      <c r="I19" s="9"/>
    </row>
    <row r="20" spans="1:9" ht="12.75">
      <c r="A20" s="2"/>
      <c r="B20" s="3" t="s">
        <v>93</v>
      </c>
      <c r="C20" s="3">
        <f>SUM(C16:C19)</f>
        <v>6704</v>
      </c>
      <c r="D20" s="3">
        <f>SUM(D16:D19)</f>
        <v>8245.92</v>
      </c>
      <c r="E20" s="3">
        <f>C20/4.0196</f>
        <v>1667.8276445417457</v>
      </c>
      <c r="F20" s="3">
        <f>D20-C20</f>
        <v>1541.92</v>
      </c>
      <c r="G20" s="9"/>
      <c r="H20" s="9"/>
      <c r="I20" s="9"/>
    </row>
    <row r="21" spans="2:9" ht="12.75">
      <c r="B21" s="9"/>
      <c r="C21" s="9"/>
      <c r="D21" s="9"/>
      <c r="E21" s="9"/>
      <c r="F21" s="9"/>
      <c r="G21" s="9"/>
      <c r="H21" s="9"/>
      <c r="I21" s="9"/>
    </row>
    <row r="22" spans="2:9" ht="12.75">
      <c r="B22" s="9"/>
      <c r="C22" s="9"/>
      <c r="D22" s="9"/>
      <c r="E22" s="9"/>
      <c r="F22" s="9"/>
      <c r="G22" s="9"/>
      <c r="H22" s="9"/>
      <c r="I22" s="9"/>
    </row>
    <row r="23" spans="1:9" ht="12.75">
      <c r="A23">
        <v>1</v>
      </c>
      <c r="B23" s="9">
        <v>100098.26</v>
      </c>
      <c r="C23" s="9">
        <v>125919.7</v>
      </c>
      <c r="D23" s="9">
        <f aca="true" t="shared" si="1" ref="D23:D28">B23/C23*100</f>
        <v>79.49372496916686</v>
      </c>
      <c r="E23" s="9"/>
      <c r="F23" s="64"/>
      <c r="G23" s="9"/>
      <c r="H23" s="9"/>
      <c r="I23" s="9"/>
    </row>
    <row r="24" spans="1:9" ht="12.75">
      <c r="A24">
        <v>2</v>
      </c>
      <c r="B24" s="9">
        <v>100098.26</v>
      </c>
      <c r="C24" s="9">
        <v>100098.26</v>
      </c>
      <c r="D24" s="9">
        <f t="shared" si="1"/>
        <v>100</v>
      </c>
      <c r="E24" s="9"/>
      <c r="F24" s="9"/>
      <c r="G24" s="9"/>
      <c r="H24" s="9"/>
      <c r="I24" s="9"/>
    </row>
    <row r="25" spans="1:9" ht="12.75">
      <c r="A25">
        <v>3</v>
      </c>
      <c r="B25" s="9">
        <v>100098.26</v>
      </c>
      <c r="C25" s="9">
        <v>111220.29</v>
      </c>
      <c r="D25" s="9">
        <f t="shared" si="1"/>
        <v>89.99999910088347</v>
      </c>
      <c r="E25" s="9"/>
      <c r="F25" s="9"/>
      <c r="G25" s="9"/>
      <c r="H25" s="9"/>
      <c r="I25" s="9"/>
    </row>
    <row r="26" spans="1:9" ht="12.75">
      <c r="A26">
        <v>4</v>
      </c>
      <c r="B26" s="9">
        <v>100098.26</v>
      </c>
      <c r="C26" s="9">
        <v>105659.28</v>
      </c>
      <c r="D26" s="9">
        <f t="shared" si="1"/>
        <v>94.73683712400842</v>
      </c>
      <c r="E26" s="9"/>
      <c r="F26" s="9"/>
      <c r="G26" s="9"/>
      <c r="H26" s="9"/>
      <c r="I26" s="9"/>
    </row>
    <row r="27" spans="1:9" ht="12.75">
      <c r="A27">
        <v>5</v>
      </c>
      <c r="B27" s="9">
        <v>100098.26</v>
      </c>
      <c r="C27" s="9">
        <v>102322.66</v>
      </c>
      <c r="D27" s="9">
        <f t="shared" si="1"/>
        <v>97.82609248039485</v>
      </c>
      <c r="E27" s="9"/>
      <c r="F27" s="9"/>
      <c r="G27" s="9"/>
      <c r="H27" s="9"/>
      <c r="I27" s="9"/>
    </row>
    <row r="28" spans="1:4" ht="12.75">
      <c r="A28">
        <v>6</v>
      </c>
      <c r="B28" s="9">
        <v>100098.26</v>
      </c>
      <c r="C28" s="9">
        <v>103682.03</v>
      </c>
      <c r="D28" s="9">
        <f t="shared" si="1"/>
        <v>96.54349938943132</v>
      </c>
    </row>
    <row r="29" spans="2:4" ht="12.75">
      <c r="B29" s="9"/>
      <c r="C29" s="9"/>
      <c r="D29" s="9"/>
    </row>
    <row r="30" spans="1:14" ht="28.5" customHeight="1">
      <c r="A30" s="150" t="s">
        <v>148</v>
      </c>
      <c r="B30" s="192" t="s">
        <v>413</v>
      </c>
      <c r="C30" s="192"/>
      <c r="D30" s="192"/>
      <c r="E30" s="2" t="s">
        <v>414</v>
      </c>
      <c r="F30" s="2"/>
      <c r="G30" s="2"/>
      <c r="H30" s="191" t="s">
        <v>415</v>
      </c>
      <c r="I30" s="191"/>
      <c r="J30" s="191"/>
      <c r="K30" s="191" t="s">
        <v>416</v>
      </c>
      <c r="L30" s="191"/>
      <c r="M30" s="191"/>
      <c r="N30" s="149" t="s">
        <v>93</v>
      </c>
    </row>
    <row r="31" spans="1:14" ht="12.75">
      <c r="A31">
        <v>1</v>
      </c>
      <c r="B31" s="3">
        <v>82840.5</v>
      </c>
      <c r="C31" s="3">
        <v>82840.5</v>
      </c>
      <c r="D31" s="15">
        <f>B31/C31*60</f>
        <v>60</v>
      </c>
      <c r="E31" s="3">
        <v>10</v>
      </c>
      <c r="F31" s="3">
        <v>10</v>
      </c>
      <c r="G31" s="15">
        <f>E31/F31*10</f>
        <v>10</v>
      </c>
      <c r="H31" s="3">
        <v>10</v>
      </c>
      <c r="I31" s="3">
        <v>10</v>
      </c>
      <c r="J31" s="15">
        <f>H31/I31*10</f>
        <v>10</v>
      </c>
      <c r="K31" s="3">
        <v>20</v>
      </c>
      <c r="L31" s="3">
        <v>20</v>
      </c>
      <c r="M31" s="15">
        <f>K31/L31*20</f>
        <v>20</v>
      </c>
      <c r="N31" s="15">
        <f>D31+G31+J31+M31</f>
        <v>100</v>
      </c>
    </row>
    <row r="32" spans="1:14" ht="12.75">
      <c r="A32">
        <v>3</v>
      </c>
      <c r="B32" s="3">
        <v>82840.5</v>
      </c>
      <c r="C32" s="3">
        <v>149814</v>
      </c>
      <c r="D32" s="15">
        <f>B32/C32*60</f>
        <v>33.177339901477836</v>
      </c>
      <c r="E32" s="3">
        <v>10</v>
      </c>
      <c r="F32" s="3">
        <v>10</v>
      </c>
      <c r="G32" s="15">
        <f>E32/F32*10</f>
        <v>10</v>
      </c>
      <c r="H32" s="3">
        <v>10</v>
      </c>
      <c r="I32" s="3">
        <v>10</v>
      </c>
      <c r="J32" s="15">
        <f>H32/I32*10</f>
        <v>10</v>
      </c>
      <c r="K32" s="3">
        <v>20</v>
      </c>
      <c r="L32" s="3">
        <v>20</v>
      </c>
      <c r="M32" s="15">
        <f>K32/L32*20</f>
        <v>20</v>
      </c>
      <c r="N32" s="15">
        <f>D32+G32+J32+M32</f>
        <v>73.17733990147784</v>
      </c>
    </row>
    <row r="33" spans="1:14" ht="12.75">
      <c r="A33">
        <v>4</v>
      </c>
      <c r="B33" s="3">
        <v>82840.5</v>
      </c>
      <c r="C33" s="3">
        <v>101967</v>
      </c>
      <c r="D33" s="15">
        <f>B33/C33*60</f>
        <v>48.74547647768396</v>
      </c>
      <c r="E33" s="3">
        <v>10</v>
      </c>
      <c r="F33" s="3">
        <v>10</v>
      </c>
      <c r="G33" s="15">
        <f>E33/F33*10</f>
        <v>10</v>
      </c>
      <c r="H33" s="3">
        <v>10</v>
      </c>
      <c r="I33" s="3">
        <v>10</v>
      </c>
      <c r="J33" s="15">
        <f>H33/I33*10</f>
        <v>10</v>
      </c>
      <c r="K33" s="3">
        <v>20</v>
      </c>
      <c r="L33" s="3">
        <v>20</v>
      </c>
      <c r="M33" s="15">
        <f>K33/L33*20</f>
        <v>20</v>
      </c>
      <c r="N33" s="15">
        <f>D33+G33+J33+M33</f>
        <v>88.74547647768395</v>
      </c>
    </row>
    <row r="34" spans="1:14" ht="12.75">
      <c r="A34">
        <v>6</v>
      </c>
      <c r="B34" s="3">
        <v>82840.5</v>
      </c>
      <c r="C34" s="3">
        <v>212052</v>
      </c>
      <c r="D34" s="15">
        <f>B34/C34*60</f>
        <v>23.43967517401392</v>
      </c>
      <c r="E34" s="3">
        <v>10</v>
      </c>
      <c r="F34" s="3">
        <v>10</v>
      </c>
      <c r="G34" s="15">
        <f>E34/F34*10</f>
        <v>10</v>
      </c>
      <c r="H34" s="3">
        <v>10</v>
      </c>
      <c r="I34" s="3">
        <v>10</v>
      </c>
      <c r="J34" s="15">
        <f>H34/I34*10</f>
        <v>10</v>
      </c>
      <c r="K34" s="3">
        <v>20</v>
      </c>
      <c r="L34" s="3">
        <v>20</v>
      </c>
      <c r="M34" s="15">
        <f>K34/L34*20</f>
        <v>20</v>
      </c>
      <c r="N34" s="15">
        <f>D34+G34+J34+M34</f>
        <v>63.43967517401392</v>
      </c>
    </row>
    <row r="35" spans="1:14" ht="12.75">
      <c r="A35">
        <v>7</v>
      </c>
      <c r="B35" s="3">
        <v>82840.5</v>
      </c>
      <c r="C35" s="3">
        <v>107010</v>
      </c>
      <c r="D35" s="15">
        <f>B35/C35*60</f>
        <v>46.44827586206897</v>
      </c>
      <c r="E35" s="3">
        <v>10</v>
      </c>
      <c r="F35" s="3">
        <v>10</v>
      </c>
      <c r="G35" s="15">
        <f>E35/F35*10</f>
        <v>10</v>
      </c>
      <c r="H35" s="3">
        <v>10</v>
      </c>
      <c r="I35" s="3">
        <v>10</v>
      </c>
      <c r="J35" s="15">
        <f>H35/I35*10</f>
        <v>10</v>
      </c>
      <c r="K35" s="3">
        <v>20</v>
      </c>
      <c r="L35" s="3">
        <v>20</v>
      </c>
      <c r="M35" s="15">
        <f>K35/L35*20</f>
        <v>20</v>
      </c>
      <c r="N35" s="15">
        <f>D35+G35+J35+M35</f>
        <v>86.44827586206897</v>
      </c>
    </row>
    <row r="36" spans="10:13" ht="12.75">
      <c r="J36" s="19"/>
      <c r="M36" s="19"/>
    </row>
    <row r="40" spans="2:4" ht="12.75">
      <c r="B40" s="9">
        <v>67169</v>
      </c>
      <c r="C40" s="133" t="s">
        <v>417</v>
      </c>
      <c r="D40" s="9">
        <f>B40+B45</f>
        <v>71852.38</v>
      </c>
    </row>
    <row r="41" spans="2:4" ht="12.75">
      <c r="B41" s="9">
        <f>B40/1.23</f>
        <v>54608.9430894309</v>
      </c>
      <c r="C41" s="133" t="s">
        <v>418</v>
      </c>
      <c r="D41" s="9">
        <f>B41+B46</f>
        <v>58416.56910569106</v>
      </c>
    </row>
    <row r="42" spans="2:4" ht="12.75">
      <c r="B42" s="9">
        <f>B41/4.0196</f>
        <v>13585.666008914046</v>
      </c>
      <c r="C42" s="133" t="s">
        <v>419</v>
      </c>
      <c r="D42" s="9">
        <f>B42+B47</f>
        <v>14532.930914939561</v>
      </c>
    </row>
    <row r="43" spans="2:4" ht="12.75">
      <c r="B43" s="9">
        <f>B40-B41</f>
        <v>12560.056910569103</v>
      </c>
      <c r="C43" s="133" t="s">
        <v>420</v>
      </c>
      <c r="D43" s="9">
        <f>B43+B48</f>
        <v>13435.81089430894</v>
      </c>
    </row>
    <row r="44" spans="2:4" ht="12.75">
      <c r="B44" s="9"/>
      <c r="C44" s="9"/>
      <c r="D44" s="9"/>
    </row>
    <row r="45" spans="2:4" ht="12.75">
      <c r="B45" s="9">
        <v>4683.38</v>
      </c>
      <c r="C45" s="133" t="s">
        <v>417</v>
      </c>
      <c r="D45" s="9"/>
    </row>
    <row r="46" spans="2:4" ht="12.75">
      <c r="B46" s="9">
        <f>B45/1.23</f>
        <v>3807.626016260163</v>
      </c>
      <c r="C46" s="133" t="s">
        <v>418</v>
      </c>
      <c r="D46" s="9"/>
    </row>
    <row r="47" spans="2:4" ht="12.75">
      <c r="B47" s="9">
        <f>B46/4.0196</f>
        <v>947.2649060255158</v>
      </c>
      <c r="C47" s="133" t="s">
        <v>419</v>
      </c>
      <c r="D47" s="9"/>
    </row>
    <row r="48" spans="2:4" ht="12.75">
      <c r="B48" s="9">
        <f>B45-B46</f>
        <v>875.7539837398372</v>
      </c>
      <c r="C48" s="133" t="s">
        <v>420</v>
      </c>
      <c r="D48" s="9"/>
    </row>
    <row r="49" spans="2:4" ht="12.75">
      <c r="B49" s="9"/>
      <c r="C49" s="9"/>
      <c r="D49" s="9"/>
    </row>
    <row r="50" spans="2:4" ht="12.75">
      <c r="B50" s="9"/>
      <c r="C50" s="9"/>
      <c r="D50" s="9"/>
    </row>
    <row r="51" spans="2:4" ht="12.75">
      <c r="B51" s="9"/>
      <c r="C51" s="9"/>
      <c r="D51" s="9"/>
    </row>
    <row r="52" spans="2:4" ht="12.75">
      <c r="B52" s="9"/>
      <c r="C52" s="9"/>
      <c r="D52" s="9"/>
    </row>
    <row r="53" spans="2:4" ht="12.75">
      <c r="B53" s="9"/>
      <c r="C53" s="9"/>
      <c r="D53" s="9"/>
    </row>
    <row r="54" spans="2:4" ht="12.75">
      <c r="B54" s="9"/>
      <c r="C54" s="9"/>
      <c r="D54" s="9"/>
    </row>
    <row r="55" spans="2:4" ht="12.75">
      <c r="B55" s="9"/>
      <c r="C55" s="9"/>
      <c r="D55" s="9"/>
    </row>
    <row r="56" spans="2:4" ht="12.75">
      <c r="B56" s="9"/>
      <c r="C56" s="9"/>
      <c r="D56" s="9"/>
    </row>
    <row r="57" spans="2:4" ht="12.75">
      <c r="B57" s="9"/>
      <c r="C57" s="9"/>
      <c r="D57" s="9"/>
    </row>
    <row r="58" spans="2:4" ht="12.75">
      <c r="B58" s="9"/>
      <c r="C58" s="9"/>
      <c r="D58" s="9"/>
    </row>
  </sheetData>
  <sheetProtection/>
  <mergeCells count="7">
    <mergeCell ref="K30:M30"/>
    <mergeCell ref="B30:D30"/>
    <mergeCell ref="B1:C1"/>
    <mergeCell ref="D1:E1"/>
    <mergeCell ref="F1:G1"/>
    <mergeCell ref="H1:I1"/>
    <mergeCell ref="H30:J30"/>
  </mergeCells>
  <printOptions/>
  <pageMargins left="0.7874015748031497" right="0.7874015748031497" top="0.5905511811023623" bottom="0.3937007874015748" header="0.11811023622047245" footer="0.1181102362204724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7.28125" style="0" customWidth="1"/>
    <col min="2" max="3" width="12.140625" style="0" customWidth="1"/>
  </cols>
  <sheetData>
    <row r="1" spans="1:3" ht="12.75">
      <c r="A1" s="4"/>
      <c r="B1" s="49" t="s">
        <v>407</v>
      </c>
      <c r="C1" s="4" t="s">
        <v>408</v>
      </c>
    </row>
    <row r="2" spans="1:3" ht="23.25" customHeight="1">
      <c r="A2" s="144"/>
      <c r="B2" s="143">
        <v>313.54</v>
      </c>
      <c r="C2" s="143">
        <v>313.54</v>
      </c>
    </row>
    <row r="3" spans="1:3" ht="15" customHeight="1">
      <c r="A3" s="145"/>
      <c r="B3" s="143">
        <v>2445</v>
      </c>
      <c r="C3" s="143">
        <v>1222.5</v>
      </c>
    </row>
    <row r="4" spans="1:3" ht="17.25" customHeight="1">
      <c r="A4" s="145"/>
      <c r="B4" s="143">
        <v>98.4</v>
      </c>
      <c r="C4" s="143">
        <v>49.2</v>
      </c>
    </row>
    <row r="5" spans="1:3" ht="12.75">
      <c r="A5" s="144"/>
      <c r="B5" s="143">
        <v>147.6</v>
      </c>
      <c r="C5" s="143">
        <v>147.6</v>
      </c>
    </row>
    <row r="6" spans="1:3" ht="12.75">
      <c r="A6" s="144"/>
      <c r="B6" s="143">
        <v>2600</v>
      </c>
      <c r="C6" s="143">
        <v>1300</v>
      </c>
    </row>
    <row r="7" spans="1:3" ht="12.75">
      <c r="A7" s="144"/>
      <c r="B7" s="143">
        <v>130</v>
      </c>
      <c r="C7" s="143">
        <v>65</v>
      </c>
    </row>
    <row r="8" spans="1:3" ht="12.75">
      <c r="A8" s="144"/>
      <c r="B8" s="146">
        <f>SUM(B2:B7)</f>
        <v>5734.54</v>
      </c>
      <c r="C8" s="143">
        <v>140</v>
      </c>
    </row>
    <row r="9" spans="2:3" ht="12.75">
      <c r="B9" s="9"/>
      <c r="C9" s="3">
        <v>1200</v>
      </c>
    </row>
    <row r="10" spans="2:3" ht="12.75">
      <c r="B10" s="9"/>
      <c r="C10" s="3">
        <v>1510.13</v>
      </c>
    </row>
    <row r="11" spans="2:3" ht="12.75">
      <c r="B11" s="9"/>
      <c r="C11" s="15">
        <f>SUM(C2:C10)</f>
        <v>5947.97</v>
      </c>
    </row>
    <row r="12" spans="2:3" ht="12.75">
      <c r="B12" s="9"/>
      <c r="C12" s="9"/>
    </row>
    <row r="13" spans="2:3" ht="12.75">
      <c r="B13" s="9"/>
      <c r="C13" s="9"/>
    </row>
    <row r="14" spans="2:3" ht="12.75">
      <c r="B14" s="9"/>
      <c r="C14" s="9"/>
    </row>
    <row r="15" spans="2:3" ht="12.75">
      <c r="B15" s="9"/>
      <c r="C15" s="9"/>
    </row>
    <row r="16" spans="2:3" ht="12.75">
      <c r="B16" s="9"/>
      <c r="C16" s="9"/>
    </row>
    <row r="17" spans="2:3" ht="12.75">
      <c r="B17" s="9"/>
      <c r="C17" s="9"/>
    </row>
    <row r="18" spans="2:3" ht="12.75">
      <c r="B18" s="9"/>
      <c r="C18" s="9"/>
    </row>
    <row r="19" spans="2:3" ht="12.75">
      <c r="B19" s="9"/>
      <c r="C19" s="9"/>
    </row>
    <row r="20" spans="2:3" ht="12.75">
      <c r="B20" s="9"/>
      <c r="C20" s="9"/>
    </row>
    <row r="21" spans="2:3" ht="12.75">
      <c r="B21" s="9"/>
      <c r="C21" s="9"/>
    </row>
    <row r="22" spans="2:3" ht="12.75">
      <c r="B22" s="9"/>
      <c r="C22" s="9"/>
    </row>
    <row r="23" spans="2:3" ht="12.75">
      <c r="B23" s="9"/>
      <c r="C23" s="9"/>
    </row>
    <row r="24" spans="2:3" ht="12.75">
      <c r="B24" s="9"/>
      <c r="C24" s="9"/>
    </row>
    <row r="25" spans="2:3" ht="12.75">
      <c r="B25" s="9"/>
      <c r="C25" s="9"/>
    </row>
  </sheetData>
  <sheetProtection/>
  <printOptions/>
  <pageMargins left="0.7874015748031497" right="0.7874015748031497" top="0.5905511811023623" bottom="0.3937007874015748" header="0.11811023622047245" footer="0.1181102362204724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8.28125" style="0" customWidth="1"/>
    <col min="2" max="2" width="10.28125" style="0" customWidth="1"/>
    <col min="3" max="3" width="10.57421875" style="0" customWidth="1"/>
    <col min="4" max="4" width="8.140625" style="0" customWidth="1"/>
    <col min="5" max="5" width="9.421875" style="0" customWidth="1"/>
    <col min="6" max="6" width="8.421875" style="0" customWidth="1"/>
    <col min="7" max="7" width="8.8515625" style="0" customWidth="1"/>
    <col min="8" max="8" width="9.421875" style="0" customWidth="1"/>
    <col min="9" max="10" width="8.8515625" style="0" customWidth="1"/>
  </cols>
  <sheetData>
    <row r="1" spans="2:9" ht="12.75">
      <c r="B1" s="9"/>
      <c r="C1" s="9"/>
      <c r="D1" s="9"/>
      <c r="E1" s="9"/>
      <c r="F1" s="9"/>
      <c r="G1" s="9"/>
      <c r="H1" s="9"/>
      <c r="I1" s="9"/>
    </row>
    <row r="2" spans="2:4" ht="12.75">
      <c r="B2" s="9"/>
      <c r="C2" s="9"/>
      <c r="D2" s="9"/>
    </row>
    <row r="3" spans="1:14" ht="28.5" customHeight="1">
      <c r="A3" s="151" t="s">
        <v>148</v>
      </c>
      <c r="B3" s="197" t="s">
        <v>413</v>
      </c>
      <c r="C3" s="197"/>
      <c r="D3" s="197"/>
      <c r="E3" s="194" t="s">
        <v>414</v>
      </c>
      <c r="F3" s="195"/>
      <c r="G3" s="196"/>
      <c r="H3" s="193" t="s">
        <v>415</v>
      </c>
      <c r="I3" s="193"/>
      <c r="J3" s="193"/>
      <c r="K3" s="193" t="s">
        <v>416</v>
      </c>
      <c r="L3" s="193"/>
      <c r="M3" s="193"/>
      <c r="N3" s="153" t="s">
        <v>93</v>
      </c>
    </row>
    <row r="4" spans="1:14" ht="30" customHeight="1">
      <c r="A4" s="152">
        <v>1</v>
      </c>
      <c r="B4" s="154">
        <v>82840.5</v>
      </c>
      <c r="C4" s="154">
        <v>82840.5</v>
      </c>
      <c r="D4" s="155">
        <f>B4/C4*60</f>
        <v>60</v>
      </c>
      <c r="E4" s="154">
        <v>10</v>
      </c>
      <c r="F4" s="154">
        <v>10</v>
      </c>
      <c r="G4" s="155">
        <f>E4/F4*10</f>
        <v>10</v>
      </c>
      <c r="H4" s="154">
        <v>10</v>
      </c>
      <c r="I4" s="154">
        <v>10</v>
      </c>
      <c r="J4" s="155">
        <f>H4/I4*10</f>
        <v>10</v>
      </c>
      <c r="K4" s="154">
        <v>20</v>
      </c>
      <c r="L4" s="154">
        <v>20</v>
      </c>
      <c r="M4" s="155">
        <f>K4/L4*20</f>
        <v>20</v>
      </c>
      <c r="N4" s="155">
        <f>D4+G4+J4+M4</f>
        <v>100</v>
      </c>
    </row>
    <row r="5" spans="1:14" ht="30" customHeight="1">
      <c r="A5" s="152">
        <v>3</v>
      </c>
      <c r="B5" s="154">
        <v>82840.5</v>
      </c>
      <c r="C5" s="154">
        <v>149814</v>
      </c>
      <c r="D5" s="155">
        <f>B5/C5*60</f>
        <v>33.177339901477836</v>
      </c>
      <c r="E5" s="154">
        <v>10</v>
      </c>
      <c r="F5" s="154">
        <v>10</v>
      </c>
      <c r="G5" s="155">
        <f>E5/F5*10</f>
        <v>10</v>
      </c>
      <c r="H5" s="154">
        <v>10</v>
      </c>
      <c r="I5" s="154">
        <v>10</v>
      </c>
      <c r="J5" s="155">
        <f>H5/I5*10</f>
        <v>10</v>
      </c>
      <c r="K5" s="154">
        <v>20</v>
      </c>
      <c r="L5" s="154">
        <v>20</v>
      </c>
      <c r="M5" s="155">
        <f>K5/L5*20</f>
        <v>20</v>
      </c>
      <c r="N5" s="155">
        <f>D5+G5+J5+M5</f>
        <v>73.17733990147784</v>
      </c>
    </row>
    <row r="6" spans="1:14" ht="30" customHeight="1">
      <c r="A6" s="152">
        <v>4</v>
      </c>
      <c r="B6" s="154">
        <v>82840.5</v>
      </c>
      <c r="C6" s="154">
        <v>101967</v>
      </c>
      <c r="D6" s="155">
        <f>B6/C6*60</f>
        <v>48.74547647768396</v>
      </c>
      <c r="E6" s="154">
        <v>10</v>
      </c>
      <c r="F6" s="154">
        <v>10</v>
      </c>
      <c r="G6" s="155">
        <f>E6/F6*10</f>
        <v>10</v>
      </c>
      <c r="H6" s="154">
        <v>10</v>
      </c>
      <c r="I6" s="154">
        <v>10</v>
      </c>
      <c r="J6" s="155">
        <f>H6/I6*10</f>
        <v>10</v>
      </c>
      <c r="K6" s="154">
        <v>20</v>
      </c>
      <c r="L6" s="154">
        <v>20</v>
      </c>
      <c r="M6" s="155">
        <f>K6/L6*20</f>
        <v>20</v>
      </c>
      <c r="N6" s="155">
        <f>D6+G6+J6+M6</f>
        <v>88.74547647768395</v>
      </c>
    </row>
    <row r="7" spans="1:14" ht="30" customHeight="1">
      <c r="A7" s="152">
        <v>6</v>
      </c>
      <c r="B7" s="154">
        <v>82840.5</v>
      </c>
      <c r="C7" s="154">
        <v>212052</v>
      </c>
      <c r="D7" s="155">
        <f>B7/C7*60</f>
        <v>23.43967517401392</v>
      </c>
      <c r="E7" s="154">
        <v>10</v>
      </c>
      <c r="F7" s="154">
        <v>10</v>
      </c>
      <c r="G7" s="155">
        <f>E7/F7*10</f>
        <v>10</v>
      </c>
      <c r="H7" s="154">
        <v>10</v>
      </c>
      <c r="I7" s="154">
        <v>10</v>
      </c>
      <c r="J7" s="155">
        <f>H7/I7*10</f>
        <v>10</v>
      </c>
      <c r="K7" s="154">
        <v>20</v>
      </c>
      <c r="L7" s="154">
        <v>20</v>
      </c>
      <c r="M7" s="155">
        <f>K7/L7*20</f>
        <v>20</v>
      </c>
      <c r="N7" s="155">
        <f>D7+G7+J7+M7</f>
        <v>63.43967517401392</v>
      </c>
    </row>
    <row r="8" spans="1:14" ht="30" customHeight="1">
      <c r="A8" s="152">
        <v>7</v>
      </c>
      <c r="B8" s="154">
        <v>82840.5</v>
      </c>
      <c r="C8" s="154">
        <v>107010</v>
      </c>
      <c r="D8" s="155">
        <f>B8/C8*60</f>
        <v>46.44827586206897</v>
      </c>
      <c r="E8" s="154">
        <v>10</v>
      </c>
      <c r="F8" s="154">
        <v>10</v>
      </c>
      <c r="G8" s="155">
        <f>E8/F8*10</f>
        <v>10</v>
      </c>
      <c r="H8" s="154">
        <v>10</v>
      </c>
      <c r="I8" s="154">
        <v>10</v>
      </c>
      <c r="J8" s="155">
        <f>H8/I8*10</f>
        <v>10</v>
      </c>
      <c r="K8" s="154">
        <v>20</v>
      </c>
      <c r="L8" s="154">
        <v>20</v>
      </c>
      <c r="M8" s="155">
        <f>K8/L8*20</f>
        <v>20</v>
      </c>
      <c r="N8" s="155">
        <f>D8+G8+J8+M8</f>
        <v>86.44827586206897</v>
      </c>
    </row>
    <row r="9" spans="10:13" ht="12.75">
      <c r="J9" s="19"/>
      <c r="M9" s="19"/>
    </row>
  </sheetData>
  <sheetProtection/>
  <mergeCells count="4">
    <mergeCell ref="K3:M3"/>
    <mergeCell ref="E3:G3"/>
    <mergeCell ref="B3:D3"/>
    <mergeCell ref="H3:J3"/>
  </mergeCells>
  <printOptions/>
  <pageMargins left="0.7874015748031497" right="0.7874015748031497" top="0.5905511811023623" bottom="0.3937007874015748" header="0.11811023622047245" footer="0.1181102362204724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C11" sqref="C11"/>
    </sheetView>
  </sheetViews>
  <sheetFormatPr defaultColWidth="9.140625" defaultRowHeight="12.75"/>
  <cols>
    <col min="1" max="1" width="67.28125" style="0" customWidth="1"/>
    <col min="2" max="2" width="20.421875" style="0" customWidth="1"/>
    <col min="3" max="3" width="23.421875" style="0" customWidth="1"/>
    <col min="4" max="4" width="9.140625" style="0" customWidth="1"/>
  </cols>
  <sheetData>
    <row r="1" spans="1:3" s="156" customFormat="1" ht="32.25" customHeight="1">
      <c r="A1" s="153" t="s">
        <v>421</v>
      </c>
      <c r="B1" s="16" t="s">
        <v>422</v>
      </c>
      <c r="C1" s="16" t="s">
        <v>423</v>
      </c>
    </row>
    <row r="2" spans="1:3" ht="32.25" customHeight="1">
      <c r="A2" s="157" t="s">
        <v>424</v>
      </c>
      <c r="B2" s="163" t="s">
        <v>434</v>
      </c>
      <c r="C2" s="163" t="s">
        <v>434</v>
      </c>
    </row>
    <row r="3" spans="1:3" ht="38.25" customHeight="1">
      <c r="A3" s="157" t="s">
        <v>425</v>
      </c>
      <c r="B3" s="163" t="s">
        <v>434</v>
      </c>
      <c r="C3" s="163" t="s">
        <v>434</v>
      </c>
    </row>
    <row r="4" spans="1:3" ht="52.5" customHeight="1">
      <c r="A4" s="157" t="s">
        <v>426</v>
      </c>
      <c r="B4" s="163" t="s">
        <v>434</v>
      </c>
      <c r="C4" s="163" t="s">
        <v>434</v>
      </c>
    </row>
    <row r="5" spans="1:3" ht="21.75" customHeight="1">
      <c r="A5" s="157" t="s">
        <v>413</v>
      </c>
      <c r="B5" s="158">
        <v>56000</v>
      </c>
      <c r="C5" s="158">
        <v>72107.03</v>
      </c>
    </row>
    <row r="6" spans="1:3" ht="21.75" customHeight="1">
      <c r="A6" s="161" t="s">
        <v>431</v>
      </c>
      <c r="B6" s="3">
        <f>(B5/B5)*60</f>
        <v>60</v>
      </c>
      <c r="C6" s="158">
        <f>(B5/C5)*60</f>
        <v>46.59739833966258</v>
      </c>
    </row>
    <row r="7" spans="1:3" ht="19.5" customHeight="1">
      <c r="A7" s="198" t="s">
        <v>427</v>
      </c>
      <c r="B7" s="199"/>
      <c r="C7" s="200"/>
    </row>
    <row r="8" spans="1:6" ht="66.75" customHeight="1">
      <c r="A8" s="159" t="s">
        <v>428</v>
      </c>
      <c r="B8" s="2">
        <v>10</v>
      </c>
      <c r="C8" s="55">
        <v>0</v>
      </c>
      <c r="D8" s="204" t="s">
        <v>436</v>
      </c>
      <c r="E8" s="205"/>
      <c r="F8" s="205"/>
    </row>
    <row r="9" spans="1:3" ht="45" customHeight="1">
      <c r="A9" s="159" t="s">
        <v>429</v>
      </c>
      <c r="B9" s="2">
        <v>30</v>
      </c>
      <c r="C9" s="55">
        <v>30</v>
      </c>
    </row>
    <row r="10" spans="1:3" ht="20.25" customHeight="1">
      <c r="A10" s="160" t="s">
        <v>430</v>
      </c>
      <c r="B10" s="3">
        <f>B8+B9</f>
        <v>40</v>
      </c>
      <c r="C10" s="3">
        <f>C8+C9</f>
        <v>30</v>
      </c>
    </row>
    <row r="11" spans="1:3" ht="19.5" customHeight="1">
      <c r="A11" s="162" t="s">
        <v>432</v>
      </c>
      <c r="B11" s="3">
        <f>(B10/B10)*40</f>
        <v>40</v>
      </c>
      <c r="C11" s="3">
        <f>(C10/B10)*40</f>
        <v>30</v>
      </c>
    </row>
    <row r="12" spans="1:3" ht="19.5" customHeight="1">
      <c r="A12" s="162" t="s">
        <v>433</v>
      </c>
      <c r="B12" s="3">
        <f>B6+B11</f>
        <v>100</v>
      </c>
      <c r="C12" s="3">
        <f>C6+C11</f>
        <v>76.59739833966259</v>
      </c>
    </row>
    <row r="13" spans="1:3" ht="19.5" customHeight="1">
      <c r="A13" s="164"/>
      <c r="B13" s="29"/>
      <c r="C13" s="29"/>
    </row>
    <row r="14" spans="1:3" ht="19.5" customHeight="1">
      <c r="A14" s="164"/>
      <c r="B14" s="29"/>
      <c r="C14" s="29"/>
    </row>
    <row r="16" spans="1:5" ht="114.75" customHeight="1">
      <c r="A16" s="157" t="s">
        <v>435</v>
      </c>
      <c r="B16" s="201" t="s">
        <v>437</v>
      </c>
      <c r="C16" s="202"/>
      <c r="D16" s="202"/>
      <c r="E16" s="203"/>
    </row>
  </sheetData>
  <sheetProtection/>
  <mergeCells count="3">
    <mergeCell ref="A7:C7"/>
    <mergeCell ref="B16:E16"/>
    <mergeCell ref="D8:F8"/>
  </mergeCells>
  <printOptions/>
  <pageMargins left="0.5905511811023623" right="0.3937007874015748" top="0.3937007874015748" bottom="0.1968503937007874" header="0.11811023622047245" footer="0.1181102362204724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1" sqref="A11:C11"/>
    </sheetView>
  </sheetViews>
  <sheetFormatPr defaultColWidth="9.140625" defaultRowHeight="12.75"/>
  <cols>
    <col min="1" max="1" width="21.57421875" style="0" customWidth="1"/>
    <col min="2" max="2" width="7.421875" style="0" customWidth="1"/>
    <col min="3" max="3" width="16.7109375" style="0" customWidth="1"/>
    <col min="4" max="4" width="18.28125" style="0" customWidth="1"/>
    <col min="5" max="5" width="18.57421875" style="0" customWidth="1"/>
    <col min="6" max="6" width="14.8515625" style="0" customWidth="1"/>
  </cols>
  <sheetData>
    <row r="1" spans="3:5" ht="24.75" customHeight="1">
      <c r="C1" s="209"/>
      <c r="D1" s="209"/>
      <c r="E1" s="209"/>
    </row>
    <row r="2" spans="1:5" ht="25.5">
      <c r="A2" s="152"/>
      <c r="B2" s="153" t="s">
        <v>199</v>
      </c>
      <c r="C2" s="16" t="s">
        <v>135</v>
      </c>
      <c r="D2" s="166" t="s">
        <v>447</v>
      </c>
      <c r="E2" s="16" t="s">
        <v>448</v>
      </c>
    </row>
    <row r="3" spans="1:5" ht="22.5" customHeight="1">
      <c r="A3" s="157" t="s">
        <v>438</v>
      </c>
      <c r="B3" s="169">
        <v>2</v>
      </c>
      <c r="C3" s="170"/>
      <c r="D3" s="158">
        <f>B3*C3</f>
        <v>0</v>
      </c>
      <c r="E3" s="158">
        <f>D3*1.23</f>
        <v>0</v>
      </c>
    </row>
    <row r="4" spans="1:5" ht="25.5" customHeight="1">
      <c r="A4" s="159" t="s">
        <v>439</v>
      </c>
      <c r="B4" s="171">
        <v>1</v>
      </c>
      <c r="C4" s="172"/>
      <c r="D4" s="158">
        <f aca="true" t="shared" si="0" ref="D4:D10">B4*C4</f>
        <v>0</v>
      </c>
      <c r="E4" s="158">
        <f aca="true" t="shared" si="1" ref="E4:E10">D4*1.23</f>
        <v>0</v>
      </c>
    </row>
    <row r="5" spans="1:5" ht="24.75" customHeight="1">
      <c r="A5" s="159" t="s">
        <v>440</v>
      </c>
      <c r="B5" s="171">
        <v>1</v>
      </c>
      <c r="C5" s="172"/>
      <c r="D5" s="158">
        <f t="shared" si="0"/>
        <v>0</v>
      </c>
      <c r="E5" s="158">
        <f t="shared" si="1"/>
        <v>0</v>
      </c>
    </row>
    <row r="6" spans="1:5" ht="21" customHeight="1">
      <c r="A6" s="157" t="s">
        <v>441</v>
      </c>
      <c r="B6" s="169">
        <v>1</v>
      </c>
      <c r="C6" s="170"/>
      <c r="D6" s="158">
        <f t="shared" si="0"/>
        <v>0</v>
      </c>
      <c r="E6" s="158">
        <f t="shared" si="1"/>
        <v>0</v>
      </c>
    </row>
    <row r="7" spans="1:5" ht="18" customHeight="1">
      <c r="A7" s="157" t="s">
        <v>442</v>
      </c>
      <c r="B7" s="169">
        <v>2</v>
      </c>
      <c r="C7" s="170"/>
      <c r="D7" s="158">
        <f t="shared" si="0"/>
        <v>0</v>
      </c>
      <c r="E7" s="158">
        <f t="shared" si="1"/>
        <v>0</v>
      </c>
    </row>
    <row r="8" spans="1:5" ht="22.5" customHeight="1">
      <c r="A8" s="157" t="s">
        <v>443</v>
      </c>
      <c r="B8" s="169">
        <v>2</v>
      </c>
      <c r="C8" s="170"/>
      <c r="D8" s="158">
        <f t="shared" si="0"/>
        <v>0</v>
      </c>
      <c r="E8" s="158">
        <f t="shared" si="1"/>
        <v>0</v>
      </c>
    </row>
    <row r="9" spans="1:5" ht="41.25" customHeight="1">
      <c r="A9" s="157" t="s">
        <v>444</v>
      </c>
      <c r="B9" s="169">
        <v>320</v>
      </c>
      <c r="C9" s="170"/>
      <c r="D9" s="158">
        <f t="shared" si="0"/>
        <v>0</v>
      </c>
      <c r="E9" s="158">
        <f t="shared" si="1"/>
        <v>0</v>
      </c>
    </row>
    <row r="10" spans="1:5" ht="19.5" customHeight="1">
      <c r="A10" s="159" t="s">
        <v>445</v>
      </c>
      <c r="B10" s="171">
        <v>1</v>
      </c>
      <c r="C10" s="158"/>
      <c r="D10" s="158">
        <f t="shared" si="0"/>
        <v>0</v>
      </c>
      <c r="E10" s="158">
        <f t="shared" si="1"/>
        <v>0</v>
      </c>
    </row>
    <row r="11" spans="1:5" ht="20.25" customHeight="1">
      <c r="A11" s="206" t="s">
        <v>446</v>
      </c>
      <c r="B11" s="207"/>
      <c r="C11" s="208"/>
      <c r="D11" s="155">
        <f>SUM(D3:D10)</f>
        <v>0</v>
      </c>
      <c r="E11" s="155">
        <f>SUM(E3:E10)</f>
        <v>0</v>
      </c>
    </row>
    <row r="12" spans="1:5" ht="12.75">
      <c r="A12" s="165"/>
      <c r="B12" s="165"/>
      <c r="C12" s="165"/>
      <c r="D12" s="9"/>
      <c r="E12" s="9"/>
    </row>
    <row r="13" spans="4:5" ht="12.75">
      <c r="D13" s="9"/>
      <c r="E13" s="9"/>
    </row>
    <row r="14" spans="4:5" ht="12.75">
      <c r="D14" s="9"/>
      <c r="E14" s="9"/>
    </row>
    <row r="15" spans="4:5" ht="12.75">
      <c r="D15" s="9"/>
      <c r="E15" s="9"/>
    </row>
    <row r="16" spans="4:5" ht="12.75">
      <c r="D16" s="9"/>
      <c r="E16" s="9"/>
    </row>
    <row r="17" spans="4:5" ht="14.25">
      <c r="D17" s="167" t="s">
        <v>449</v>
      </c>
      <c r="E17" s="9"/>
    </row>
    <row r="18" spans="4:5" ht="12.75">
      <c r="D18" s="78" t="s">
        <v>450</v>
      </c>
      <c r="E18" s="133"/>
    </row>
    <row r="19" spans="4:5" ht="12.75">
      <c r="D19" s="78" t="s">
        <v>451</v>
      </c>
      <c r="E19" s="9"/>
    </row>
    <row r="20" spans="4:5" ht="12.75">
      <c r="D20" s="78" t="s">
        <v>452</v>
      </c>
      <c r="E20" s="9"/>
    </row>
    <row r="21" spans="4:5" ht="12.75">
      <c r="D21" s="9"/>
      <c r="E21" s="9"/>
    </row>
    <row r="23" ht="14.25">
      <c r="A23" s="168" t="s">
        <v>453</v>
      </c>
    </row>
  </sheetData>
  <sheetProtection/>
  <mergeCells count="2">
    <mergeCell ref="A11:C11"/>
    <mergeCell ref="C1:E1"/>
  </mergeCells>
  <printOptions/>
  <pageMargins left="0.5905511811023623" right="0.5905511811023623" top="0.5905511811023623" bottom="0.3937007874015748" header="0.31496062992125984" footer="0.11811023622047245"/>
  <pageSetup horizontalDpi="600" verticalDpi="600" orientation="portrait" paperSize="9" scale="95" r:id="rId1"/>
  <headerFooter alignWithMargins="0">
    <oddHeader>&amp;R&amp;"Arial,Pogrubiony"&amp;11Załącznik nr 9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7.140625" style="0" customWidth="1"/>
    <col min="2" max="2" width="25.8515625" style="0" customWidth="1"/>
    <col min="3" max="3" width="14.00390625" style="0" customWidth="1"/>
    <col min="4" max="4" width="14.28125" style="0" customWidth="1"/>
    <col min="5" max="5" width="13.28125" style="0" customWidth="1"/>
    <col min="6" max="6" width="13.421875" style="0" customWidth="1"/>
  </cols>
  <sheetData>
    <row r="1" spans="5:6" ht="12.75">
      <c r="E1" s="173" t="s">
        <v>81</v>
      </c>
      <c r="F1" s="174"/>
    </row>
    <row r="2" spans="1:6" ht="12.75">
      <c r="A2" s="5" t="s">
        <v>3</v>
      </c>
      <c r="B2" s="5" t="s">
        <v>0</v>
      </c>
      <c r="C2" s="5" t="s">
        <v>1</v>
      </c>
      <c r="D2" s="20" t="s">
        <v>2</v>
      </c>
      <c r="E2" s="5" t="s">
        <v>1</v>
      </c>
      <c r="F2" s="5" t="s">
        <v>2</v>
      </c>
    </row>
    <row r="3" spans="1:6" ht="12.75">
      <c r="A3" s="4" t="s">
        <v>4</v>
      </c>
      <c r="B3" s="2" t="s">
        <v>74</v>
      </c>
      <c r="C3" s="8">
        <v>44940</v>
      </c>
      <c r="D3" s="21">
        <v>55276.2</v>
      </c>
      <c r="E3" s="23">
        <v>57378</v>
      </c>
      <c r="F3" s="3">
        <v>70574.94</v>
      </c>
    </row>
    <row r="4" spans="1:6" ht="12.75">
      <c r="A4" s="4" t="s">
        <v>5</v>
      </c>
      <c r="B4" s="2" t="s">
        <v>75</v>
      </c>
      <c r="C4" s="8">
        <v>40400</v>
      </c>
      <c r="D4" s="21">
        <v>49692</v>
      </c>
      <c r="E4" s="24">
        <v>40400</v>
      </c>
      <c r="F4" s="8">
        <v>49692</v>
      </c>
    </row>
    <row r="5" spans="1:6" ht="12.75">
      <c r="A5" s="4" t="s">
        <v>6</v>
      </c>
      <c r="B5" s="2" t="s">
        <v>76</v>
      </c>
      <c r="C5" s="8">
        <v>51177.93</v>
      </c>
      <c r="D5" s="21">
        <v>62948.85</v>
      </c>
      <c r="E5" s="8">
        <v>51177.93</v>
      </c>
      <c r="F5" s="8">
        <v>62948.85</v>
      </c>
    </row>
    <row r="6" spans="1:6" ht="12.75">
      <c r="A6" s="4" t="s">
        <v>7</v>
      </c>
      <c r="B6" s="2" t="s">
        <v>77</v>
      </c>
      <c r="C6" s="8">
        <v>42900</v>
      </c>
      <c r="D6" s="21">
        <v>52767</v>
      </c>
      <c r="E6" s="24">
        <v>42900</v>
      </c>
      <c r="F6" s="8">
        <v>52767</v>
      </c>
    </row>
    <row r="7" spans="1:6" ht="12.75">
      <c r="A7" s="4" t="s">
        <v>8</v>
      </c>
      <c r="B7" s="2" t="s">
        <v>78</v>
      </c>
      <c r="C7" s="8"/>
      <c r="D7" s="21"/>
      <c r="E7" s="24"/>
      <c r="F7" s="8"/>
    </row>
    <row r="8" spans="1:6" ht="12.75">
      <c r="A8" s="4" t="s">
        <v>9</v>
      </c>
      <c r="B8" s="2" t="s">
        <v>79</v>
      </c>
      <c r="C8" s="8">
        <v>40122</v>
      </c>
      <c r="D8" s="21">
        <v>49350.06</v>
      </c>
      <c r="E8" s="24">
        <v>40122</v>
      </c>
      <c r="F8" s="8">
        <v>49350.06</v>
      </c>
    </row>
    <row r="9" spans="2:6" ht="12.75">
      <c r="B9" s="7"/>
      <c r="C9" s="11">
        <f>SUM(C3:C8)</f>
        <v>219539.93</v>
      </c>
      <c r="D9" s="22">
        <f>SUM(D3:D8)</f>
        <v>270034.11</v>
      </c>
      <c r="E9" s="25">
        <f>SUM(E3:E8)</f>
        <v>231977.93</v>
      </c>
      <c r="F9" s="11">
        <f>SUM(F3:F8)</f>
        <v>285332.85</v>
      </c>
    </row>
    <row r="10" spans="2:5" ht="12.75">
      <c r="B10" s="13"/>
      <c r="C10" s="14"/>
      <c r="D10" s="14"/>
      <c r="E10" s="9"/>
    </row>
    <row r="11" spans="2:6" ht="12.75">
      <c r="B11" s="12"/>
      <c r="C11" s="18"/>
      <c r="D11" s="18" t="s">
        <v>80</v>
      </c>
      <c r="E11" s="18">
        <f>AVERAGE(E3:E8)</f>
        <v>46395.585999999996</v>
      </c>
      <c r="F11" s="18">
        <f>AVERAGE(F3:F8)</f>
        <v>57066.56999999999</v>
      </c>
    </row>
    <row r="12" spans="2:5" ht="12.75">
      <c r="B12" s="12"/>
      <c r="C12" s="9"/>
      <c r="D12" s="39" t="s">
        <v>49</v>
      </c>
      <c r="E12" s="9">
        <f>E11/3.839</f>
        <v>12085.331075800988</v>
      </c>
    </row>
    <row r="13" spans="2:5" ht="12.75">
      <c r="B13" s="12"/>
      <c r="C13" s="9"/>
      <c r="D13" s="39" t="s">
        <v>51</v>
      </c>
      <c r="E13" s="9">
        <f>F11-E19</f>
        <v>57066.56999999999</v>
      </c>
    </row>
    <row r="15" spans="3:6" ht="12.75">
      <c r="C15" s="175" t="s">
        <v>126</v>
      </c>
      <c r="D15" s="175"/>
      <c r="E15" s="43">
        <f>F15/1.23</f>
        <v>64227.64227642277</v>
      </c>
      <c r="F15" s="43">
        <v>79000</v>
      </c>
    </row>
    <row r="16" spans="4:5" ht="12.75">
      <c r="D16" s="39" t="s">
        <v>49</v>
      </c>
      <c r="E16" s="9">
        <f>E15/3.839</f>
        <v>16730.30535983922</v>
      </c>
    </row>
    <row r="17" spans="4:5" ht="12.75">
      <c r="D17" s="39" t="s">
        <v>51</v>
      </c>
      <c r="E17" s="9">
        <f>F15-E15</f>
        <v>14772.357723577232</v>
      </c>
    </row>
    <row r="19" spans="5:6" ht="12.75">
      <c r="E19" s="61"/>
      <c r="F19" s="43"/>
    </row>
    <row r="20" ht="12.75">
      <c r="F20" s="9"/>
    </row>
    <row r="21" ht="12.75">
      <c r="F21" s="9"/>
    </row>
  </sheetData>
  <sheetProtection/>
  <mergeCells count="2">
    <mergeCell ref="E1:F1"/>
    <mergeCell ref="C15:D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8.7109375" style="0" customWidth="1"/>
    <col min="2" max="2" width="15.00390625" style="0" customWidth="1"/>
    <col min="3" max="3" width="11.28125" style="0" customWidth="1"/>
    <col min="4" max="4" width="13.8515625" style="0" customWidth="1"/>
    <col min="5" max="5" width="13.7109375" style="0" customWidth="1"/>
    <col min="6" max="6" width="12.8515625" style="0" customWidth="1"/>
  </cols>
  <sheetData>
    <row r="1" ht="12.75">
      <c r="A1" s="19"/>
    </row>
    <row r="2" spans="1:6" ht="25.5">
      <c r="A2" s="48" t="s">
        <v>3</v>
      </c>
      <c r="B2" s="16" t="s">
        <v>53</v>
      </c>
      <c r="C2" s="16" t="s">
        <v>100</v>
      </c>
      <c r="D2" s="16" t="s">
        <v>54</v>
      </c>
      <c r="E2" s="33" t="s">
        <v>87</v>
      </c>
      <c r="F2" s="33" t="s">
        <v>114</v>
      </c>
    </row>
    <row r="3" spans="1:6" ht="12.75">
      <c r="A3" s="49" t="s">
        <v>4</v>
      </c>
      <c r="B3" s="3">
        <v>60</v>
      </c>
      <c r="C3" s="51">
        <v>5</v>
      </c>
      <c r="D3" s="50">
        <f>B3*C3</f>
        <v>300</v>
      </c>
      <c r="E3" s="50">
        <f>D3*1.23</f>
        <v>369</v>
      </c>
      <c r="F3" s="4" t="s">
        <v>115</v>
      </c>
    </row>
    <row r="4" spans="1:6" ht="12.75">
      <c r="A4" s="49" t="s">
        <v>5</v>
      </c>
      <c r="B4" s="3">
        <v>160</v>
      </c>
      <c r="C4" s="51">
        <v>5</v>
      </c>
      <c r="D4" s="50">
        <f aca="true" t="shared" si="0" ref="D4:D25">B4*C4</f>
        <v>800</v>
      </c>
      <c r="E4" s="50">
        <f aca="true" t="shared" si="1" ref="E4:E25">D4*1.23</f>
        <v>984</v>
      </c>
      <c r="F4" s="4" t="s">
        <v>115</v>
      </c>
    </row>
    <row r="5" spans="1:6" ht="12.75">
      <c r="A5" s="49" t="s">
        <v>6</v>
      </c>
      <c r="B5" s="3">
        <v>60</v>
      </c>
      <c r="C5" s="51">
        <v>5</v>
      </c>
      <c r="D5" s="50">
        <f t="shared" si="0"/>
        <v>300</v>
      </c>
      <c r="E5" s="50">
        <f t="shared" si="1"/>
        <v>369</v>
      </c>
      <c r="F5" s="4" t="s">
        <v>115</v>
      </c>
    </row>
    <row r="6" spans="1:6" ht="12.75">
      <c r="A6" s="49" t="s">
        <v>7</v>
      </c>
      <c r="B6" s="3">
        <v>55</v>
      </c>
      <c r="C6" s="51">
        <v>15</v>
      </c>
      <c r="D6" s="50">
        <f t="shared" si="0"/>
        <v>825</v>
      </c>
      <c r="E6" s="50">
        <f t="shared" si="1"/>
        <v>1014.75</v>
      </c>
      <c r="F6" s="4" t="s">
        <v>94</v>
      </c>
    </row>
    <row r="7" spans="1:6" ht="12.75">
      <c r="A7" s="49" t="s">
        <v>8</v>
      </c>
      <c r="B7" s="3">
        <v>55</v>
      </c>
      <c r="C7" s="51">
        <v>20</v>
      </c>
      <c r="D7" s="50">
        <f t="shared" si="0"/>
        <v>1100</v>
      </c>
      <c r="E7" s="50">
        <f t="shared" si="1"/>
        <v>1353</v>
      </c>
      <c r="F7" s="4" t="s">
        <v>95</v>
      </c>
    </row>
    <row r="8" spans="1:6" ht="12.75">
      <c r="A8" s="49" t="s">
        <v>9</v>
      </c>
      <c r="B8" s="3">
        <v>60</v>
      </c>
      <c r="C8" s="51">
        <v>5</v>
      </c>
      <c r="D8" s="50">
        <f t="shared" si="0"/>
        <v>300</v>
      </c>
      <c r="E8" s="50">
        <f t="shared" si="1"/>
        <v>369</v>
      </c>
      <c r="F8" s="4" t="s">
        <v>115</v>
      </c>
    </row>
    <row r="9" spans="1:6" ht="12.75">
      <c r="A9" s="49" t="s">
        <v>10</v>
      </c>
      <c r="B9" s="3">
        <v>55</v>
      </c>
      <c r="C9" s="51">
        <v>18</v>
      </c>
      <c r="D9" s="50">
        <f t="shared" si="0"/>
        <v>990</v>
      </c>
      <c r="E9" s="50">
        <f t="shared" si="1"/>
        <v>1217.7</v>
      </c>
      <c r="F9" s="4" t="s">
        <v>96</v>
      </c>
    </row>
    <row r="10" spans="1:6" ht="12.75">
      <c r="A10" s="49" t="s">
        <v>11</v>
      </c>
      <c r="B10" s="3">
        <v>50</v>
      </c>
      <c r="C10" s="51">
        <v>11</v>
      </c>
      <c r="D10" s="50">
        <f t="shared" si="0"/>
        <v>550</v>
      </c>
      <c r="E10" s="50">
        <f t="shared" si="1"/>
        <v>676.5</v>
      </c>
      <c r="F10" s="4" t="s">
        <v>99</v>
      </c>
    </row>
    <row r="11" spans="1:6" ht="12.75">
      <c r="A11" s="49" t="s">
        <v>12</v>
      </c>
      <c r="B11" s="3">
        <v>55</v>
      </c>
      <c r="C11" s="51">
        <v>20</v>
      </c>
      <c r="D11" s="50">
        <f t="shared" si="0"/>
        <v>1100</v>
      </c>
      <c r="E11" s="50">
        <f t="shared" si="1"/>
        <v>1353</v>
      </c>
      <c r="F11" s="4" t="s">
        <v>95</v>
      </c>
    </row>
    <row r="12" spans="1:6" ht="12.75">
      <c r="A12" s="49" t="s">
        <v>13</v>
      </c>
      <c r="B12" s="3">
        <v>30</v>
      </c>
      <c r="C12" s="51">
        <v>13</v>
      </c>
      <c r="D12" s="50">
        <f t="shared" si="0"/>
        <v>390</v>
      </c>
      <c r="E12" s="50">
        <f t="shared" si="1"/>
        <v>479.7</v>
      </c>
      <c r="F12" s="4" t="s">
        <v>97</v>
      </c>
    </row>
    <row r="13" spans="1:6" ht="12.75">
      <c r="A13" s="49" t="s">
        <v>24</v>
      </c>
      <c r="B13" s="3"/>
      <c r="C13" s="51"/>
      <c r="D13" s="50">
        <f t="shared" si="0"/>
        <v>0</v>
      </c>
      <c r="E13" s="50">
        <f t="shared" si="1"/>
        <v>0</v>
      </c>
      <c r="F13" s="4"/>
    </row>
    <row r="14" spans="1:6" ht="12.75">
      <c r="A14" s="49" t="s">
        <v>25</v>
      </c>
      <c r="B14" s="3">
        <v>60</v>
      </c>
      <c r="C14" s="51">
        <v>5</v>
      </c>
      <c r="D14" s="50">
        <f t="shared" si="0"/>
        <v>300</v>
      </c>
      <c r="E14" s="50">
        <f t="shared" si="1"/>
        <v>369</v>
      </c>
      <c r="F14" s="4" t="s">
        <v>115</v>
      </c>
    </row>
    <row r="15" spans="1:6" ht="12.75">
      <c r="A15" s="49" t="s">
        <v>26</v>
      </c>
      <c r="B15" s="3">
        <v>55</v>
      </c>
      <c r="C15" s="51">
        <v>20</v>
      </c>
      <c r="D15" s="50">
        <f t="shared" si="0"/>
        <v>1100</v>
      </c>
      <c r="E15" s="50">
        <f t="shared" si="1"/>
        <v>1353</v>
      </c>
      <c r="F15" s="4" t="s">
        <v>95</v>
      </c>
    </row>
    <row r="16" spans="1:6" ht="12.75">
      <c r="A16" s="49" t="s">
        <v>27</v>
      </c>
      <c r="B16" s="3">
        <v>50</v>
      </c>
      <c r="C16" s="51">
        <v>13</v>
      </c>
      <c r="D16" s="50">
        <f t="shared" si="0"/>
        <v>650</v>
      </c>
      <c r="E16" s="50">
        <f t="shared" si="1"/>
        <v>799.5</v>
      </c>
      <c r="F16" s="4" t="s">
        <v>97</v>
      </c>
    </row>
    <row r="17" spans="1:6" ht="12.75">
      <c r="A17" s="49" t="s">
        <v>28</v>
      </c>
      <c r="B17" s="3">
        <v>30</v>
      </c>
      <c r="C17" s="51">
        <v>11</v>
      </c>
      <c r="D17" s="50">
        <f t="shared" si="0"/>
        <v>330</v>
      </c>
      <c r="E17" s="50">
        <f t="shared" si="1"/>
        <v>405.9</v>
      </c>
      <c r="F17" s="4" t="s">
        <v>99</v>
      </c>
    </row>
    <row r="18" spans="1:6" ht="12.75">
      <c r="A18" s="49" t="s">
        <v>29</v>
      </c>
      <c r="B18" s="3">
        <v>60</v>
      </c>
      <c r="C18" s="51">
        <v>5</v>
      </c>
      <c r="D18" s="50">
        <f t="shared" si="0"/>
        <v>300</v>
      </c>
      <c r="E18" s="50">
        <f t="shared" si="1"/>
        <v>369</v>
      </c>
      <c r="F18" s="4" t="s">
        <v>115</v>
      </c>
    </row>
    <row r="19" spans="1:6" ht="12.75">
      <c r="A19" s="49" t="s">
        <v>30</v>
      </c>
      <c r="B19" s="3">
        <v>60</v>
      </c>
      <c r="C19" s="51">
        <v>5</v>
      </c>
      <c r="D19" s="50">
        <f t="shared" si="0"/>
        <v>300</v>
      </c>
      <c r="E19" s="50">
        <f t="shared" si="1"/>
        <v>369</v>
      </c>
      <c r="F19" s="4" t="s">
        <v>115</v>
      </c>
    </row>
    <row r="20" spans="1:6" ht="12.75">
      <c r="A20" s="49" t="s">
        <v>73</v>
      </c>
      <c r="B20" s="3">
        <v>60</v>
      </c>
      <c r="C20" s="51">
        <v>5</v>
      </c>
      <c r="D20" s="50">
        <f t="shared" si="0"/>
        <v>300</v>
      </c>
      <c r="E20" s="50">
        <f t="shared" si="1"/>
        <v>369</v>
      </c>
      <c r="F20" s="4" t="s">
        <v>115</v>
      </c>
    </row>
    <row r="21" spans="1:6" ht="12.75">
      <c r="A21" s="49" t="s">
        <v>109</v>
      </c>
      <c r="B21" s="3">
        <v>55</v>
      </c>
      <c r="C21" s="51">
        <v>16</v>
      </c>
      <c r="D21" s="50">
        <f t="shared" si="0"/>
        <v>880</v>
      </c>
      <c r="E21" s="50">
        <f t="shared" si="1"/>
        <v>1082.4</v>
      </c>
      <c r="F21" s="4" t="s">
        <v>98</v>
      </c>
    </row>
    <row r="22" spans="1:6" ht="12.75">
      <c r="A22" s="49" t="s">
        <v>110</v>
      </c>
      <c r="B22" s="3">
        <v>30</v>
      </c>
      <c r="C22" s="51">
        <v>16</v>
      </c>
      <c r="D22" s="50">
        <f t="shared" si="0"/>
        <v>480</v>
      </c>
      <c r="E22" s="50">
        <f t="shared" si="1"/>
        <v>590.4</v>
      </c>
      <c r="F22" s="4" t="s">
        <v>98</v>
      </c>
    </row>
    <row r="23" spans="1:6" ht="12.75">
      <c r="A23" s="49" t="s">
        <v>111</v>
      </c>
      <c r="B23" s="3">
        <v>50</v>
      </c>
      <c r="C23" s="51">
        <v>13</v>
      </c>
      <c r="D23" s="50">
        <f t="shared" si="0"/>
        <v>650</v>
      </c>
      <c r="E23" s="50">
        <f t="shared" si="1"/>
        <v>799.5</v>
      </c>
      <c r="F23" s="4" t="s">
        <v>97</v>
      </c>
    </row>
    <row r="24" spans="1:6" ht="12.75">
      <c r="A24" s="49" t="s">
        <v>112</v>
      </c>
      <c r="B24" s="3">
        <v>110</v>
      </c>
      <c r="C24" s="51">
        <v>5</v>
      </c>
      <c r="D24" s="50">
        <f t="shared" si="0"/>
        <v>550</v>
      </c>
      <c r="E24" s="50">
        <f t="shared" si="1"/>
        <v>676.5</v>
      </c>
      <c r="F24" s="4" t="s">
        <v>115</v>
      </c>
    </row>
    <row r="25" spans="1:6" ht="12.75">
      <c r="A25" s="49" t="s">
        <v>113</v>
      </c>
      <c r="B25" s="3">
        <v>60</v>
      </c>
      <c r="C25" s="51"/>
      <c r="D25" s="50">
        <f t="shared" si="0"/>
        <v>0</v>
      </c>
      <c r="E25" s="50">
        <f t="shared" si="1"/>
        <v>0</v>
      </c>
      <c r="F25" s="5" t="s">
        <v>116</v>
      </c>
    </row>
    <row r="26" spans="3:5" ht="12.75">
      <c r="C26" s="17"/>
      <c r="D26" s="11">
        <f>SUM(D3:D25)</f>
        <v>12495</v>
      </c>
      <c r="E26" s="11">
        <f>SUM(E3:E25)</f>
        <v>15368.849999999999</v>
      </c>
    </row>
    <row r="28" spans="3:4" ht="12.75">
      <c r="C28" t="s">
        <v>49</v>
      </c>
      <c r="D28" s="9">
        <f>D26/3.839</f>
        <v>3254.7538421463923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7.140625" style="0" customWidth="1"/>
    <col min="2" max="2" width="25.8515625" style="0" customWidth="1"/>
    <col min="3" max="3" width="10.140625" style="0" customWidth="1"/>
    <col min="4" max="4" width="13.28125" style="0" customWidth="1"/>
    <col min="5" max="5" width="15.140625" style="0" customWidth="1"/>
    <col min="6" max="6" width="15.00390625" style="0" customWidth="1"/>
    <col min="7" max="7" width="10.28125" style="0" customWidth="1"/>
    <col min="8" max="8" width="14.57421875" style="0" customWidth="1"/>
    <col min="10" max="10" width="12.8515625" style="0" customWidth="1"/>
    <col min="11" max="11" width="14.57421875" style="0" customWidth="1"/>
  </cols>
  <sheetData>
    <row r="2" spans="1:7" ht="38.25">
      <c r="A2" s="56" t="s">
        <v>3</v>
      </c>
      <c r="B2" s="56" t="s">
        <v>117</v>
      </c>
      <c r="C2" s="56" t="s">
        <v>118</v>
      </c>
      <c r="D2" s="56" t="s">
        <v>119</v>
      </c>
      <c r="E2" s="56" t="s">
        <v>1</v>
      </c>
      <c r="F2" s="56" t="s">
        <v>2</v>
      </c>
      <c r="G2" s="54" t="s">
        <v>124</v>
      </c>
    </row>
    <row r="3" spans="1:7" ht="12.75">
      <c r="A3" s="4" t="s">
        <v>4</v>
      </c>
      <c r="B3" s="63" t="s">
        <v>132</v>
      </c>
      <c r="C3" s="55">
        <v>32</v>
      </c>
      <c r="D3" s="50">
        <v>375</v>
      </c>
      <c r="E3" s="8">
        <f aca="true" t="shared" si="0" ref="E3:E8">C3*D3</f>
        <v>12000</v>
      </c>
      <c r="F3" s="8">
        <f aca="true" t="shared" si="1" ref="F3:F8">E3*1.23</f>
        <v>14760</v>
      </c>
      <c r="G3" s="58">
        <v>0.23</v>
      </c>
    </row>
    <row r="4" spans="1:11" ht="42.75" customHeight="1">
      <c r="A4" s="4" t="s">
        <v>5</v>
      </c>
      <c r="B4" s="52" t="s">
        <v>125</v>
      </c>
      <c r="C4" s="55">
        <v>32</v>
      </c>
      <c r="D4" s="50">
        <v>3650</v>
      </c>
      <c r="E4" s="8">
        <f t="shared" si="0"/>
        <v>116800</v>
      </c>
      <c r="F4" s="8">
        <f t="shared" si="1"/>
        <v>143664</v>
      </c>
      <c r="G4" s="58">
        <v>0.23</v>
      </c>
      <c r="H4" s="9"/>
      <c r="J4" s="9"/>
      <c r="K4" s="9"/>
    </row>
    <row r="5" spans="1:7" ht="25.5">
      <c r="A5" s="4" t="s">
        <v>6</v>
      </c>
      <c r="B5" s="53" t="s">
        <v>120</v>
      </c>
      <c r="C5" s="55">
        <v>350</v>
      </c>
      <c r="D5" s="50">
        <v>28.58</v>
      </c>
      <c r="E5" s="8">
        <f t="shared" si="0"/>
        <v>10003</v>
      </c>
      <c r="F5" s="8">
        <f t="shared" si="1"/>
        <v>12303.69</v>
      </c>
      <c r="G5" s="58">
        <v>0.23</v>
      </c>
    </row>
    <row r="6" spans="1:7" ht="17.25" customHeight="1">
      <c r="A6" s="4" t="s">
        <v>7</v>
      </c>
      <c r="B6" s="52" t="s">
        <v>121</v>
      </c>
      <c r="C6" s="55">
        <v>1</v>
      </c>
      <c r="D6" s="50">
        <v>2300</v>
      </c>
      <c r="E6" s="8">
        <f t="shared" si="0"/>
        <v>2300</v>
      </c>
      <c r="F6" s="8">
        <f t="shared" si="1"/>
        <v>2829</v>
      </c>
      <c r="G6" s="58">
        <v>0.23</v>
      </c>
    </row>
    <row r="7" spans="1:7" ht="18.75" customHeight="1">
      <c r="A7" s="4" t="s">
        <v>8</v>
      </c>
      <c r="B7" s="52" t="s">
        <v>122</v>
      </c>
      <c r="C7" s="55">
        <v>30</v>
      </c>
      <c r="D7" s="50">
        <v>990</v>
      </c>
      <c r="E7" s="8">
        <f t="shared" si="0"/>
        <v>29700</v>
      </c>
      <c r="F7" s="8">
        <f t="shared" si="1"/>
        <v>36531</v>
      </c>
      <c r="G7" s="58">
        <v>0.23</v>
      </c>
    </row>
    <row r="8" spans="1:7" ht="21" customHeight="1">
      <c r="A8" s="4" t="s">
        <v>9</v>
      </c>
      <c r="B8" s="52" t="s">
        <v>123</v>
      </c>
      <c r="C8" s="55">
        <v>1</v>
      </c>
      <c r="D8" s="50">
        <v>1965</v>
      </c>
      <c r="E8" s="8">
        <f t="shared" si="0"/>
        <v>1965</v>
      </c>
      <c r="F8" s="8">
        <f t="shared" si="1"/>
        <v>2416.95</v>
      </c>
      <c r="G8" s="58">
        <v>0.23</v>
      </c>
    </row>
    <row r="9" spans="2:6" ht="21.75" customHeight="1">
      <c r="B9" s="13"/>
      <c r="C9" s="13"/>
      <c r="D9" s="57" t="s">
        <v>93</v>
      </c>
      <c r="E9" s="11">
        <f>SUM(E3:E8)</f>
        <v>172768</v>
      </c>
      <c r="F9" s="11">
        <f>SUM(F3:F8)</f>
        <v>212504.64</v>
      </c>
    </row>
    <row r="10" spans="2:6" ht="12.75">
      <c r="B10" s="12"/>
      <c r="C10" s="12"/>
      <c r="D10" s="12"/>
      <c r="E10" s="18"/>
      <c r="F10" s="18"/>
    </row>
    <row r="11" spans="2:6" ht="12.75">
      <c r="B11" s="12"/>
      <c r="C11" s="12"/>
      <c r="D11" s="59" t="s">
        <v>49</v>
      </c>
      <c r="E11" s="9">
        <f>E9/3.839</f>
        <v>45003.38629851524</v>
      </c>
      <c r="F11" s="9"/>
    </row>
    <row r="12" spans="2:6" ht="12.75">
      <c r="B12" s="12"/>
      <c r="C12" s="12"/>
      <c r="D12" s="59" t="s">
        <v>51</v>
      </c>
      <c r="E12" s="9">
        <f>F9-E9</f>
        <v>39736.640000000014</v>
      </c>
      <c r="F12" s="9"/>
    </row>
    <row r="13" ht="12.75">
      <c r="F13" s="9">
        <v>202875</v>
      </c>
    </row>
    <row r="14" spans="5:6" ht="12.75">
      <c r="E14" t="s">
        <v>48</v>
      </c>
      <c r="F14" s="9">
        <f>F13/1.23</f>
        <v>164939.0243902439</v>
      </c>
    </row>
    <row r="15" spans="5:6" ht="12.75">
      <c r="E15" t="s">
        <v>49</v>
      </c>
      <c r="F15" s="9">
        <f>F14/3.839</f>
        <v>42964.05949211875</v>
      </c>
    </row>
    <row r="16" spans="5:6" ht="12.75">
      <c r="E16" t="s">
        <v>131</v>
      </c>
      <c r="F16" s="9">
        <f>F13-F14</f>
        <v>37935.975609756104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49">
      <selection activeCell="C82" sqref="C82"/>
    </sheetView>
  </sheetViews>
  <sheetFormatPr defaultColWidth="9.140625" defaultRowHeight="12.75"/>
  <cols>
    <col min="2" max="2" width="13.28125" style="0" customWidth="1"/>
    <col min="3" max="3" width="15.00390625" style="0" customWidth="1"/>
    <col min="4" max="4" width="14.57421875" style="0" customWidth="1"/>
    <col min="5" max="5" width="12.8515625" style="0" customWidth="1"/>
    <col min="6" max="6" width="13.7109375" style="0" customWidth="1"/>
    <col min="7" max="7" width="12.8515625" style="0" customWidth="1"/>
  </cols>
  <sheetData>
    <row r="1" ht="12.75">
      <c r="B1" s="19" t="s">
        <v>50</v>
      </c>
    </row>
    <row r="2" spans="2:3" ht="12.75">
      <c r="B2" s="9"/>
      <c r="C2" s="9"/>
    </row>
    <row r="3" spans="1:3" ht="12.75">
      <c r="A3" s="39" t="s">
        <v>130</v>
      </c>
      <c r="B3" s="9" t="s">
        <v>47</v>
      </c>
      <c r="C3" s="9" t="s">
        <v>48</v>
      </c>
    </row>
    <row r="4" spans="2:3" ht="12.75">
      <c r="B4" s="9">
        <v>5136.04</v>
      </c>
      <c r="C4" s="9">
        <f>B4/1.22</f>
        <v>4209.868852459016</v>
      </c>
    </row>
    <row r="5" spans="2:3" ht="12.75">
      <c r="B5" s="9">
        <v>37615.77</v>
      </c>
      <c r="C5" s="9">
        <f>B5/1.22</f>
        <v>30832.598360655735</v>
      </c>
    </row>
    <row r="6" spans="2:3" ht="12.75">
      <c r="B6" s="9">
        <f>SUM(B4:B5)</f>
        <v>42751.81</v>
      </c>
      <c r="C6" s="9">
        <f>SUM(C4:C5)</f>
        <v>35042.46721311475</v>
      </c>
    </row>
    <row r="7" spans="1:4" ht="12.75">
      <c r="A7" s="60">
        <v>0.22</v>
      </c>
      <c r="B7" s="9">
        <f>B6*3</f>
        <v>128255.43</v>
      </c>
      <c r="C7" s="9">
        <f>C6*3</f>
        <v>105127.40163934426</v>
      </c>
      <c r="D7" s="9"/>
    </row>
    <row r="8" spans="1:4" ht="12.75">
      <c r="A8" s="60">
        <v>0.23</v>
      </c>
      <c r="B8" s="9">
        <f>C7*1.23</f>
        <v>129306.70401639343</v>
      </c>
      <c r="C8" s="9"/>
      <c r="D8" s="9"/>
    </row>
    <row r="9" spans="2:3" ht="12.75">
      <c r="B9" s="17" t="s">
        <v>49</v>
      </c>
      <c r="C9" s="9">
        <f>C7/3.839</f>
        <v>27384.058775552036</v>
      </c>
    </row>
    <row r="10" spans="2:4" ht="12.75">
      <c r="B10" s="17" t="s">
        <v>51</v>
      </c>
      <c r="C10" s="9">
        <f>B8-C7</f>
        <v>24179.30237704917</v>
      </c>
      <c r="D10" s="9"/>
    </row>
    <row r="11" spans="2:3" ht="12.75">
      <c r="B11" s="9"/>
      <c r="C11" s="9"/>
    </row>
    <row r="12" spans="2:4" ht="12.75">
      <c r="B12" s="176" t="s">
        <v>82</v>
      </c>
      <c r="C12" s="177"/>
      <c r="D12" s="177"/>
    </row>
    <row r="13" spans="2:4" ht="12.75">
      <c r="B13" s="9">
        <v>3</v>
      </c>
      <c r="C13" s="9">
        <v>4.92</v>
      </c>
      <c r="D13">
        <f aca="true" t="shared" si="0" ref="D13:D18">B13*C13</f>
        <v>14.76</v>
      </c>
    </row>
    <row r="14" spans="2:3" ht="12.75">
      <c r="B14" s="9"/>
      <c r="C14" s="9"/>
    </row>
    <row r="15" spans="2:4" ht="12.75">
      <c r="B15" s="9">
        <v>2</v>
      </c>
      <c r="C15" s="9">
        <v>35.67</v>
      </c>
      <c r="D15">
        <f t="shared" si="0"/>
        <v>71.34</v>
      </c>
    </row>
    <row r="16" spans="2:4" ht="12.75">
      <c r="B16" s="9">
        <v>40</v>
      </c>
      <c r="C16" s="9">
        <v>12.18</v>
      </c>
      <c r="D16">
        <f t="shared" si="0"/>
        <v>487.2</v>
      </c>
    </row>
    <row r="17" spans="2:4" ht="12.75">
      <c r="B17" s="9">
        <v>3</v>
      </c>
      <c r="C17" s="9">
        <v>3.08</v>
      </c>
      <c r="D17">
        <f t="shared" si="0"/>
        <v>9.24</v>
      </c>
    </row>
    <row r="18" spans="2:4" ht="12.75">
      <c r="B18" s="9">
        <v>6</v>
      </c>
      <c r="C18" s="9">
        <v>1.11</v>
      </c>
      <c r="D18">
        <f t="shared" si="0"/>
        <v>6.66</v>
      </c>
    </row>
    <row r="19" spans="2:4" ht="12.75">
      <c r="B19" s="9"/>
      <c r="C19" s="9"/>
      <c r="D19">
        <f>SUM(D13:D18)</f>
        <v>589.1999999999999</v>
      </c>
    </row>
    <row r="21" spans="2:3" ht="12.75">
      <c r="B21" s="9"/>
      <c r="C21" s="9"/>
    </row>
    <row r="22" spans="2:5" ht="12.75">
      <c r="B22" s="9">
        <v>5609.76</v>
      </c>
      <c r="C22" s="64">
        <v>3.839</v>
      </c>
      <c r="D22" s="9">
        <f>B22/C22</f>
        <v>1461.25553529565</v>
      </c>
      <c r="E22" s="62"/>
    </row>
    <row r="23" spans="2:4" ht="12.75">
      <c r="B23" s="9"/>
      <c r="C23" s="9"/>
      <c r="D23" s="9"/>
    </row>
    <row r="24" spans="2:5" ht="12.75">
      <c r="B24">
        <v>4.92</v>
      </c>
      <c r="C24">
        <v>8</v>
      </c>
      <c r="D24" s="9">
        <f>B24*C24</f>
        <v>39.36</v>
      </c>
      <c r="E24" s="9"/>
    </row>
    <row r="26" spans="2:4" ht="12.75">
      <c r="B26" s="9">
        <v>130000</v>
      </c>
      <c r="C26" s="9">
        <f>B26/1.23</f>
        <v>105691.05691056911</v>
      </c>
      <c r="D26" s="64">
        <f>B26-C26</f>
        <v>24308.94308943089</v>
      </c>
    </row>
    <row r="27" ht="12.75">
      <c r="C27" s="9">
        <f>C26/3.839</f>
        <v>27530.88223771011</v>
      </c>
    </row>
    <row r="30" spans="2:5" ht="12.75">
      <c r="B30" s="9" t="s">
        <v>206</v>
      </c>
      <c r="C30" s="9">
        <v>209696.64</v>
      </c>
      <c r="D30" s="9">
        <f>C30*1.23</f>
        <v>257926.8672</v>
      </c>
      <c r="E30" s="9"/>
    </row>
    <row r="31" spans="2:5" ht="12.75">
      <c r="B31" t="s">
        <v>207</v>
      </c>
      <c r="C31" s="9">
        <v>90278.17</v>
      </c>
      <c r="D31" s="9">
        <f>C31*1.23</f>
        <v>111042.1491</v>
      </c>
      <c r="E31" s="9"/>
    </row>
    <row r="32" spans="3:5" ht="12.75">
      <c r="C32" s="43">
        <f>C30+C31</f>
        <v>299974.81</v>
      </c>
      <c r="D32" s="43">
        <f>D30+D31</f>
        <v>368969.0163</v>
      </c>
      <c r="E32" s="9"/>
    </row>
    <row r="33" spans="2:5" ht="12.75">
      <c r="B33" t="s">
        <v>49</v>
      </c>
      <c r="C33" s="9">
        <f>C32/3.839</f>
        <v>78138.78874706954</v>
      </c>
      <c r="D33" s="9"/>
      <c r="E33" s="9"/>
    </row>
    <row r="34" spans="2:5" ht="12.75">
      <c r="B34" t="s">
        <v>208</v>
      </c>
      <c r="C34" s="9">
        <f>C30/3.839</f>
        <v>54622.72466788226</v>
      </c>
      <c r="D34" s="9"/>
      <c r="E34" s="9"/>
    </row>
    <row r="35" spans="2:5" ht="12.75">
      <c r="B35" t="s">
        <v>207</v>
      </c>
      <c r="C35" s="9">
        <f>C31/3.839</f>
        <v>23516.064079187287</v>
      </c>
      <c r="D35" s="9"/>
      <c r="E35" s="9"/>
    </row>
    <row r="36" spans="3:5" ht="12.75">
      <c r="C36" s="9"/>
      <c r="D36" s="9"/>
      <c r="E36" s="9"/>
    </row>
    <row r="37" spans="3:5" ht="12.75">
      <c r="C37" s="9"/>
      <c r="D37" s="9"/>
      <c r="E37" s="9"/>
    </row>
    <row r="38" spans="2:5" ht="12.75">
      <c r="B38">
        <v>134400</v>
      </c>
      <c r="C38" s="9">
        <f>B38/2</f>
        <v>67200</v>
      </c>
      <c r="D38" s="9">
        <f>C38/1.23</f>
        <v>54634.14634146341</v>
      </c>
      <c r="E38" s="9">
        <f>D38*1.23</f>
        <v>67200</v>
      </c>
    </row>
    <row r="39" spans="3:5" ht="12.75">
      <c r="C39" s="9">
        <f>C38*0.23</f>
        <v>15456</v>
      </c>
      <c r="D39" s="9">
        <v>53746</v>
      </c>
      <c r="E39" s="9"/>
    </row>
    <row r="40" spans="3:5" ht="12.75">
      <c r="C40" s="9"/>
      <c r="D40" s="9">
        <f>D38-D39</f>
        <v>888.1463414634127</v>
      </c>
      <c r="E40" s="9"/>
    </row>
    <row r="42" spans="3:5" ht="14.25">
      <c r="C42" s="105"/>
      <c r="D42" s="105"/>
      <c r="E42" s="9"/>
    </row>
    <row r="44" spans="3:5" ht="12.75">
      <c r="C44" s="9">
        <v>40577.27</v>
      </c>
      <c r="D44" s="9">
        <v>48805.38</v>
      </c>
      <c r="E44" s="9">
        <f>C44/D44*100</f>
        <v>83.14097749059633</v>
      </c>
    </row>
    <row r="46" spans="3:4" ht="12.75">
      <c r="C46" s="9">
        <v>7100</v>
      </c>
      <c r="D46" s="9">
        <f>C46/1.23</f>
        <v>5772.357723577235</v>
      </c>
    </row>
    <row r="47" ht="12.75">
      <c r="D47" s="9">
        <f>D46/3.839</f>
        <v>1503.609722213398</v>
      </c>
    </row>
    <row r="48" ht="12.75">
      <c r="D48" s="9">
        <f>D46*0.23</f>
        <v>1327.642276422764</v>
      </c>
    </row>
    <row r="52" spans="2:4" ht="12.75">
      <c r="B52" s="9">
        <v>171.59</v>
      </c>
      <c r="C52" s="72">
        <v>2937.85</v>
      </c>
      <c r="D52" s="72">
        <f>B52/C52*100</f>
        <v>5.840665793011897</v>
      </c>
    </row>
    <row r="53" spans="2:4" ht="12.75">
      <c r="B53" s="9"/>
      <c r="C53" s="72"/>
      <c r="D53" s="71"/>
    </row>
    <row r="54" spans="2:4" ht="12.75">
      <c r="B54" s="9">
        <v>2889.99</v>
      </c>
      <c r="C54" s="72">
        <f>B54*0.058</f>
        <v>167.61942</v>
      </c>
      <c r="D54" s="71"/>
    </row>
    <row r="55" spans="2:4" ht="12.75">
      <c r="B55" s="9"/>
      <c r="C55" s="72"/>
      <c r="D55" s="71"/>
    </row>
    <row r="56" spans="2:4" ht="12.75">
      <c r="B56" s="9">
        <v>34069.86</v>
      </c>
      <c r="C56" s="9">
        <f>B56*0.024</f>
        <v>817.67664</v>
      </c>
      <c r="D56" s="9"/>
    </row>
    <row r="57" spans="2:4" ht="12.75">
      <c r="B57" s="9">
        <v>128254.39</v>
      </c>
      <c r="C57" s="9">
        <f>B57*0.024</f>
        <v>3078.10536</v>
      </c>
      <c r="D57" s="9"/>
    </row>
    <row r="58" spans="2:4" ht="12.75">
      <c r="B58" s="9">
        <v>97203.57</v>
      </c>
      <c r="C58" s="9">
        <f>B58*0.026</f>
        <v>2527.29282</v>
      </c>
      <c r="D58" s="9"/>
    </row>
    <row r="59" spans="2:4" ht="12.75"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5" ht="12.75">
      <c r="B63" s="9">
        <v>1476</v>
      </c>
      <c r="C63" s="9">
        <f>B63*1.028</f>
        <v>1517.328</v>
      </c>
      <c r="D63" s="9">
        <f>C63+17.43</f>
        <v>1534.758</v>
      </c>
      <c r="E63" s="9"/>
    </row>
    <row r="64" spans="2:5" ht="12.75">
      <c r="B64" s="9">
        <v>1968</v>
      </c>
      <c r="C64" s="9">
        <f>B64*1.028</f>
        <v>2023.104</v>
      </c>
      <c r="D64" s="9">
        <f>C64+17.43</f>
        <v>2040.534</v>
      </c>
      <c r="E64" s="9"/>
    </row>
    <row r="65" spans="2:5" ht="12.75">
      <c r="B65" s="9">
        <v>1476</v>
      </c>
      <c r="C65" s="9">
        <f>B65*1.028</f>
        <v>1517.328</v>
      </c>
      <c r="D65" s="9">
        <f>C65+17.43</f>
        <v>1534.758</v>
      </c>
      <c r="E65" s="9"/>
    </row>
    <row r="66" spans="2:5" ht="12.75">
      <c r="B66" s="9">
        <v>1918.8</v>
      </c>
      <c r="C66" s="9">
        <f>B66*1.028</f>
        <v>1972.5264</v>
      </c>
      <c r="D66" s="9">
        <f>C66+17.42</f>
        <v>1989.9464</v>
      </c>
      <c r="E66" s="9"/>
    </row>
    <row r="67" spans="2:5" ht="12.75">
      <c r="B67" s="9"/>
      <c r="C67" s="9"/>
      <c r="D67" s="9">
        <f>SUM(D63:D66)</f>
        <v>7099.9964</v>
      </c>
      <c r="E67" s="9"/>
    </row>
    <row r="68" spans="2:5" ht="12.75">
      <c r="B68" s="9"/>
      <c r="C68" s="9"/>
      <c r="D68" s="9"/>
      <c r="E68" s="9"/>
    </row>
    <row r="69" spans="1:5" ht="12.75">
      <c r="A69" t="s">
        <v>346</v>
      </c>
      <c r="B69" s="9"/>
      <c r="C69" s="9"/>
      <c r="D69" s="9"/>
      <c r="E69" s="9"/>
    </row>
    <row r="70" spans="1:5" ht="12.75">
      <c r="A70">
        <v>1</v>
      </c>
      <c r="B70" s="9">
        <v>148889.04</v>
      </c>
      <c r="C70" s="9">
        <v>158470.9</v>
      </c>
      <c r="D70" s="9">
        <f aca="true" t="shared" si="1" ref="D70:D75">B70/C70*100</f>
        <v>93.95355235566909</v>
      </c>
      <c r="E70" s="9"/>
    </row>
    <row r="71" spans="1:5" ht="12.75">
      <c r="A71">
        <v>2</v>
      </c>
      <c r="B71" s="9">
        <v>148889.04</v>
      </c>
      <c r="C71" s="9">
        <v>170618.22</v>
      </c>
      <c r="D71" s="9">
        <f t="shared" si="1"/>
        <v>87.26444338711306</v>
      </c>
      <c r="E71" s="9"/>
    </row>
    <row r="72" spans="1:5" ht="12.75">
      <c r="A72">
        <v>3</v>
      </c>
      <c r="B72" s="9">
        <v>148889.04</v>
      </c>
      <c r="C72" s="9">
        <v>165690.84</v>
      </c>
      <c r="D72" s="9">
        <f t="shared" si="1"/>
        <v>89.8595480595065</v>
      </c>
      <c r="E72" s="9"/>
    </row>
    <row r="73" spans="1:5" ht="12.75">
      <c r="A73">
        <v>5</v>
      </c>
      <c r="B73" s="9">
        <v>148889.04</v>
      </c>
      <c r="C73" s="9">
        <v>148889.04</v>
      </c>
      <c r="D73" s="9">
        <f t="shared" si="1"/>
        <v>100</v>
      </c>
      <c r="E73" s="9"/>
    </row>
    <row r="74" spans="1:5" ht="12.75">
      <c r="A74">
        <v>6</v>
      </c>
      <c r="B74" s="9">
        <v>148889.04</v>
      </c>
      <c r="C74" s="9">
        <v>153511.38</v>
      </c>
      <c r="D74" s="9">
        <f t="shared" si="1"/>
        <v>96.98892681441598</v>
      </c>
      <c r="E74" s="9"/>
    </row>
    <row r="75" spans="1:4" ht="12.75">
      <c r="A75">
        <v>7</v>
      </c>
      <c r="B75" s="9">
        <v>148889.04</v>
      </c>
      <c r="C75" s="9">
        <v>177235.62</v>
      </c>
      <c r="D75" s="9">
        <f t="shared" si="1"/>
        <v>84.00627368245729</v>
      </c>
    </row>
    <row r="81" spans="3:6" ht="12.75">
      <c r="C81" s="1" t="s">
        <v>347</v>
      </c>
      <c r="D81">
        <v>4.3281</v>
      </c>
      <c r="E81" s="9">
        <v>350</v>
      </c>
      <c r="F81" s="9">
        <f>D81*E81</f>
        <v>1514.835</v>
      </c>
    </row>
    <row r="82" spans="5:6" ht="12.75">
      <c r="E82" s="9"/>
      <c r="F82" s="9">
        <v>700</v>
      </c>
    </row>
    <row r="83" spans="5:6" ht="12.75">
      <c r="E83" s="9"/>
      <c r="F83" s="9">
        <f>F81-F82</f>
        <v>814.835</v>
      </c>
    </row>
  </sheetData>
  <sheetProtection/>
  <mergeCells count="1"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H14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6.28125" style="0" customWidth="1"/>
    <col min="2" max="2" width="15.8515625" style="0" customWidth="1"/>
    <col min="3" max="3" width="8.57421875" style="0" customWidth="1"/>
    <col min="4" max="4" width="10.57421875" style="0" customWidth="1"/>
    <col min="5" max="5" width="14.00390625" style="0" customWidth="1"/>
    <col min="6" max="6" width="13.421875" style="0" customWidth="1"/>
    <col min="7" max="7" width="13.7109375" style="0" customWidth="1"/>
    <col min="8" max="8" width="13.140625" style="0" customWidth="1"/>
  </cols>
  <sheetData>
    <row r="4" spans="1:6" s="1" customFormat="1" ht="12.75">
      <c r="A4" s="67" t="s">
        <v>3</v>
      </c>
      <c r="B4" s="67" t="s">
        <v>134</v>
      </c>
      <c r="C4" s="67" t="s">
        <v>133</v>
      </c>
      <c r="D4" s="67" t="s">
        <v>135</v>
      </c>
      <c r="E4" s="67" t="s">
        <v>1</v>
      </c>
      <c r="F4" s="67" t="s">
        <v>2</v>
      </c>
    </row>
    <row r="5" spans="1:8" ht="38.25">
      <c r="A5" s="4" t="s">
        <v>4</v>
      </c>
      <c r="B5" s="68" t="s">
        <v>141</v>
      </c>
      <c r="C5" s="69">
        <v>90</v>
      </c>
      <c r="D5" s="50">
        <v>12</v>
      </c>
      <c r="E5" s="50">
        <f aca="true" t="shared" si="0" ref="E5:E10">C5*D5</f>
        <v>1080</v>
      </c>
      <c r="F5" s="50">
        <f aca="true" t="shared" si="1" ref="F5:F10">E5*1.23</f>
        <v>1328.4</v>
      </c>
      <c r="G5" s="9"/>
      <c r="H5" s="9"/>
    </row>
    <row r="6" spans="1:8" ht="38.25">
      <c r="A6" s="4" t="s">
        <v>5</v>
      </c>
      <c r="B6" s="68" t="s">
        <v>136</v>
      </c>
      <c r="C6" s="69">
        <v>260</v>
      </c>
      <c r="D6" s="50">
        <v>4</v>
      </c>
      <c r="E6" s="50">
        <f t="shared" si="0"/>
        <v>1040</v>
      </c>
      <c r="F6" s="50">
        <f t="shared" si="1"/>
        <v>1279.2</v>
      </c>
      <c r="G6" s="9"/>
      <c r="H6" s="9"/>
    </row>
    <row r="7" spans="1:8" ht="12.75">
      <c r="A7" s="4" t="s">
        <v>6</v>
      </c>
      <c r="B7" s="68" t="s">
        <v>137</v>
      </c>
      <c r="C7" s="69">
        <v>260</v>
      </c>
      <c r="D7" s="50">
        <v>4</v>
      </c>
      <c r="E7" s="50">
        <f t="shared" si="0"/>
        <v>1040</v>
      </c>
      <c r="F7" s="50">
        <f t="shared" si="1"/>
        <v>1279.2</v>
      </c>
      <c r="G7" s="9"/>
      <c r="H7" s="9"/>
    </row>
    <row r="8" spans="1:8" ht="12.75">
      <c r="A8" s="4" t="s">
        <v>7</v>
      </c>
      <c r="B8" s="68" t="s">
        <v>138</v>
      </c>
      <c r="C8" s="69">
        <v>65</v>
      </c>
      <c r="D8" s="50">
        <v>24</v>
      </c>
      <c r="E8" s="50">
        <f t="shared" si="0"/>
        <v>1560</v>
      </c>
      <c r="F8" s="50">
        <f t="shared" si="1"/>
        <v>1918.8</v>
      </c>
      <c r="G8" s="9"/>
      <c r="H8" s="9"/>
    </row>
    <row r="9" spans="1:8" ht="12.75">
      <c r="A9" s="4" t="s">
        <v>8</v>
      </c>
      <c r="B9" s="68" t="s">
        <v>139</v>
      </c>
      <c r="C9" s="69">
        <v>120</v>
      </c>
      <c r="D9" s="50">
        <v>8</v>
      </c>
      <c r="E9" s="50">
        <f t="shared" si="0"/>
        <v>960</v>
      </c>
      <c r="F9" s="50">
        <f t="shared" si="1"/>
        <v>1180.8</v>
      </c>
      <c r="G9" s="9"/>
      <c r="H9" s="9"/>
    </row>
    <row r="10" spans="1:8" ht="25.5">
      <c r="A10" s="4" t="s">
        <v>9</v>
      </c>
      <c r="B10" s="68" t="s">
        <v>142</v>
      </c>
      <c r="C10" s="69">
        <v>130</v>
      </c>
      <c r="D10" s="50">
        <v>2</v>
      </c>
      <c r="E10" s="50">
        <f t="shared" si="0"/>
        <v>260</v>
      </c>
      <c r="F10" s="50">
        <f t="shared" si="1"/>
        <v>319.8</v>
      </c>
      <c r="G10" s="9"/>
      <c r="H10" s="9"/>
    </row>
    <row r="11" spans="1:7" ht="12.75">
      <c r="A11" s="1"/>
      <c r="B11" s="65"/>
      <c r="C11" s="66"/>
      <c r="D11" s="11" t="s">
        <v>93</v>
      </c>
      <c r="E11" s="11">
        <f>SUM(E5:E10)</f>
        <v>5940</v>
      </c>
      <c r="F11" s="11">
        <f>SUM(F5:F10)</f>
        <v>7306.200000000001</v>
      </c>
      <c r="G11" s="9"/>
    </row>
    <row r="12" spans="3:7" ht="26.25" customHeight="1">
      <c r="C12" s="66"/>
      <c r="D12" s="70" t="s">
        <v>140</v>
      </c>
      <c r="E12" s="18">
        <f>E11-E9</f>
        <v>4980</v>
      </c>
      <c r="F12" s="18">
        <f>F11-F9</f>
        <v>6125.400000000001</v>
      </c>
      <c r="G12" s="9"/>
    </row>
    <row r="13" spans="3:7" ht="12.75">
      <c r="C13" s="66"/>
      <c r="D13" s="17" t="s">
        <v>51</v>
      </c>
      <c r="E13" s="17">
        <f>F12-E12</f>
        <v>1145.4000000000005</v>
      </c>
      <c r="F13" s="17"/>
      <c r="G13" s="9"/>
    </row>
    <row r="14" spans="3:7" ht="12.75">
      <c r="C14" s="39"/>
      <c r="D14" s="17"/>
      <c r="E14" s="17"/>
      <c r="F14" s="17"/>
      <c r="G14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H1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28125" style="0" customWidth="1"/>
    <col min="2" max="2" width="15.8515625" style="0" customWidth="1"/>
    <col min="3" max="3" width="8.57421875" style="0" customWidth="1"/>
    <col min="4" max="4" width="13.28125" style="0" customWidth="1"/>
    <col min="5" max="5" width="14.00390625" style="0" customWidth="1"/>
    <col min="6" max="6" width="13.421875" style="0" customWidth="1"/>
    <col min="7" max="7" width="13.7109375" style="0" customWidth="1"/>
    <col min="8" max="8" width="13.140625" style="0" customWidth="1"/>
  </cols>
  <sheetData>
    <row r="4" spans="1:6" s="1" customFormat="1" ht="12.75">
      <c r="A4" s="67" t="s">
        <v>3</v>
      </c>
      <c r="B4" s="67" t="s">
        <v>134</v>
      </c>
      <c r="C4" s="67" t="s">
        <v>133</v>
      </c>
      <c r="D4" s="67" t="s">
        <v>135</v>
      </c>
      <c r="E4" s="67" t="s">
        <v>1</v>
      </c>
      <c r="F4" s="67" t="s">
        <v>2</v>
      </c>
    </row>
    <row r="5" spans="1:8" ht="38.25">
      <c r="A5" s="4" t="s">
        <v>4</v>
      </c>
      <c r="B5" s="68" t="s">
        <v>121</v>
      </c>
      <c r="C5" s="69">
        <v>1</v>
      </c>
      <c r="D5" s="50">
        <v>2210</v>
      </c>
      <c r="E5" s="50">
        <f aca="true" t="shared" si="0" ref="E5:E11">C5*D5</f>
        <v>2210</v>
      </c>
      <c r="F5" s="50">
        <f aca="true" t="shared" si="1" ref="F5:F11">E5*1.23</f>
        <v>2718.3</v>
      </c>
      <c r="G5" s="9"/>
      <c r="H5" s="9"/>
    </row>
    <row r="6" spans="1:8" ht="12.75">
      <c r="A6" s="4" t="s">
        <v>5</v>
      </c>
      <c r="B6" s="68" t="s">
        <v>143</v>
      </c>
      <c r="C6" s="69">
        <v>19</v>
      </c>
      <c r="D6" s="50">
        <v>1295</v>
      </c>
      <c r="E6" s="50">
        <f>ROUNDUP(C6*D6,2)</f>
        <v>24605</v>
      </c>
      <c r="F6" s="50">
        <f t="shared" si="1"/>
        <v>30264.149999999998</v>
      </c>
      <c r="G6" s="9"/>
      <c r="H6" s="9"/>
    </row>
    <row r="7" spans="1:8" ht="25.5">
      <c r="A7" s="4" t="s">
        <v>6</v>
      </c>
      <c r="B7" s="68" t="s">
        <v>144</v>
      </c>
      <c r="C7" s="69">
        <v>5</v>
      </c>
      <c r="D7" s="50">
        <v>100</v>
      </c>
      <c r="E7" s="50">
        <f t="shared" si="0"/>
        <v>500</v>
      </c>
      <c r="F7" s="50">
        <f t="shared" si="1"/>
        <v>615</v>
      </c>
      <c r="G7" s="9"/>
      <c r="H7" s="9"/>
    </row>
    <row r="8" spans="1:8" ht="38.25">
      <c r="A8" s="4" t="s">
        <v>7</v>
      </c>
      <c r="B8" s="68" t="s">
        <v>147</v>
      </c>
      <c r="C8" s="69">
        <v>1</v>
      </c>
      <c r="D8" s="50">
        <v>260</v>
      </c>
      <c r="E8" s="50">
        <f t="shared" si="0"/>
        <v>260</v>
      </c>
      <c r="F8" s="50">
        <f t="shared" si="1"/>
        <v>319.8</v>
      </c>
      <c r="G8" s="9"/>
      <c r="H8" s="9"/>
    </row>
    <row r="9" spans="1:8" ht="12.75">
      <c r="A9" s="4" t="s">
        <v>8</v>
      </c>
      <c r="B9" s="68" t="s">
        <v>145</v>
      </c>
      <c r="C9" s="69">
        <v>5</v>
      </c>
      <c r="D9" s="50">
        <v>260</v>
      </c>
      <c r="E9" s="50">
        <f>ROUNDUP(C9*D9,2)</f>
        <v>1300</v>
      </c>
      <c r="F9" s="50">
        <f t="shared" si="1"/>
        <v>1599</v>
      </c>
      <c r="G9" s="9"/>
      <c r="H9" s="9"/>
    </row>
    <row r="10" spans="1:8" ht="12.75">
      <c r="A10" s="4" t="s">
        <v>9</v>
      </c>
      <c r="B10" s="68" t="s">
        <v>209</v>
      </c>
      <c r="C10" s="69">
        <v>4</v>
      </c>
      <c r="D10" s="50">
        <v>170</v>
      </c>
      <c r="E10" s="50">
        <f t="shared" si="0"/>
        <v>680</v>
      </c>
      <c r="F10" s="50">
        <f t="shared" si="1"/>
        <v>836.4</v>
      </c>
      <c r="G10" s="9"/>
      <c r="H10" s="9"/>
    </row>
    <row r="11" spans="1:8" ht="12.75">
      <c r="A11" s="4" t="s">
        <v>10</v>
      </c>
      <c r="B11" s="2" t="s">
        <v>210</v>
      </c>
      <c r="C11" s="2">
        <v>1</v>
      </c>
      <c r="D11" s="3">
        <v>934</v>
      </c>
      <c r="E11" s="50">
        <f t="shared" si="0"/>
        <v>934</v>
      </c>
      <c r="F11" s="50">
        <f t="shared" si="1"/>
        <v>1148.82</v>
      </c>
      <c r="G11" s="9"/>
      <c r="H11" s="9"/>
    </row>
    <row r="12" spans="1:7" ht="12.75">
      <c r="A12" s="1"/>
      <c r="B12" s="65"/>
      <c r="C12" s="66"/>
      <c r="D12" s="87" t="s">
        <v>93</v>
      </c>
      <c r="E12" s="87">
        <f>SUM(E5:E11)</f>
        <v>30489</v>
      </c>
      <c r="F12" s="87">
        <f>SUM(F5:F11)</f>
        <v>37501.47</v>
      </c>
      <c r="G12" s="9"/>
    </row>
    <row r="13" spans="3:7" ht="12" customHeight="1">
      <c r="C13" s="66"/>
      <c r="D13" s="70"/>
      <c r="E13" s="18"/>
      <c r="F13" s="18"/>
      <c r="G13" s="9"/>
    </row>
    <row r="14" spans="3:7" ht="12.75">
      <c r="C14" s="66"/>
      <c r="D14" s="17"/>
      <c r="E14" s="17"/>
      <c r="F14" s="17"/>
      <c r="G14" s="9"/>
    </row>
    <row r="15" spans="3:7" ht="12.75">
      <c r="C15" s="39"/>
      <c r="D15" s="17" t="s">
        <v>146</v>
      </c>
      <c r="E15" s="17">
        <f>E12/3.839</f>
        <v>7941.911956238604</v>
      </c>
      <c r="F15" s="17"/>
      <c r="G15" s="9"/>
    </row>
    <row r="16" spans="4:5" ht="12.75">
      <c r="D16" s="39" t="s">
        <v>51</v>
      </c>
      <c r="E16" s="9">
        <f>F12-E12</f>
        <v>7012.470000000001</v>
      </c>
    </row>
    <row r="18" ht="12.75">
      <c r="F18" s="8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Pracy - Poznań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Pracy - Poznań</dc:creator>
  <cp:keywords/>
  <dc:description/>
  <cp:lastModifiedBy>elżbieta kostrzewa</cp:lastModifiedBy>
  <cp:lastPrinted>2013-06-25T05:57:27Z</cp:lastPrinted>
  <dcterms:created xsi:type="dcterms:W3CDTF">2011-05-06T09:39:36Z</dcterms:created>
  <dcterms:modified xsi:type="dcterms:W3CDTF">2014-01-08T11:32:01Z</dcterms:modified>
  <cp:category/>
  <cp:version/>
  <cp:contentType/>
  <cp:contentStatus/>
</cp:coreProperties>
</file>